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0" windowWidth="14040" windowHeight="8835"/>
  </bookViews>
  <sheets>
    <sheet name="2025" sheetId="2" r:id="rId1"/>
  </sheets>
  <definedNames>
    <definedName name="_xlnm.Print_Titles" localSheetId="0">'2025'!$4:$5</definedName>
  </definedNames>
  <calcPr calcId="145621"/>
</workbook>
</file>

<file path=xl/calcChain.xml><?xml version="1.0" encoding="utf-8"?>
<calcChain xmlns="http://schemas.openxmlformats.org/spreadsheetml/2006/main">
  <c r="J15" i="2" l="1"/>
  <c r="I15" i="2"/>
  <c r="H15" i="2"/>
  <c r="J14" i="2"/>
  <c r="I14" i="2"/>
  <c r="H14" i="2"/>
  <c r="F43" i="2" l="1"/>
  <c r="F31" i="2"/>
  <c r="F42" i="2"/>
  <c r="F15" i="2"/>
  <c r="F25" i="2"/>
  <c r="F40" i="2"/>
  <c r="F36" i="2"/>
  <c r="F38" i="2"/>
  <c r="F37" i="2"/>
  <c r="F34" i="2"/>
  <c r="F26" i="2"/>
  <c r="F30" i="2"/>
  <c r="F27" i="2"/>
  <c r="J19" i="2" l="1"/>
  <c r="I19" i="2"/>
  <c r="H19" i="2"/>
  <c r="H32" i="2" l="1"/>
  <c r="F41" i="2" l="1"/>
  <c r="F7" i="2"/>
  <c r="F54" i="2"/>
  <c r="F50" i="2"/>
  <c r="F44" i="2"/>
  <c r="F33" i="2"/>
  <c r="F28" i="2"/>
  <c r="F21" i="2"/>
  <c r="F18" i="2"/>
  <c r="F16" i="2"/>
  <c r="F35" i="2" l="1"/>
  <c r="F57" i="2" s="1"/>
  <c r="L8" i="2"/>
  <c r="G8" i="2" l="1"/>
  <c r="M17" i="2" l="1"/>
  <c r="L17" i="2"/>
  <c r="K17" i="2"/>
  <c r="G17" i="2"/>
  <c r="J16" i="2"/>
  <c r="I16" i="2"/>
  <c r="H16" i="2"/>
  <c r="E16" i="2"/>
  <c r="D16" i="2"/>
  <c r="C16" i="2"/>
  <c r="M16" i="2" l="1"/>
  <c r="G16" i="2"/>
  <c r="K16" i="2"/>
  <c r="L16" i="2"/>
  <c r="G13" i="2" l="1"/>
  <c r="D7" i="2" l="1"/>
  <c r="M34" i="2" l="1"/>
  <c r="L34" i="2"/>
  <c r="K34" i="2"/>
  <c r="J33" i="2"/>
  <c r="I33" i="2"/>
  <c r="H33" i="2"/>
  <c r="E33" i="2"/>
  <c r="D33" i="2"/>
  <c r="C33" i="2"/>
  <c r="K33" i="2" l="1"/>
  <c r="L33" i="2"/>
  <c r="M33" i="2"/>
  <c r="G33" i="2"/>
  <c r="I54" i="2"/>
  <c r="I50" i="2"/>
  <c r="I44" i="2"/>
  <c r="I41" i="2"/>
  <c r="I35" i="2"/>
  <c r="I28" i="2"/>
  <c r="I21" i="2"/>
  <c r="I18" i="2"/>
  <c r="I7" i="2"/>
  <c r="C41" i="2"/>
  <c r="K8" i="2"/>
  <c r="M8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9" i="2"/>
  <c r="L19" i="2"/>
  <c r="M19" i="2"/>
  <c r="K20" i="2"/>
  <c r="L20" i="2"/>
  <c r="M20" i="2"/>
  <c r="K23" i="2"/>
  <c r="L23" i="2"/>
  <c r="M23" i="2"/>
  <c r="K25" i="2"/>
  <c r="L25" i="2"/>
  <c r="M25" i="2"/>
  <c r="K26" i="2"/>
  <c r="L26" i="2"/>
  <c r="M26" i="2"/>
  <c r="K27" i="2"/>
  <c r="L27" i="2"/>
  <c r="M27" i="2"/>
  <c r="K29" i="2"/>
  <c r="L29" i="2"/>
  <c r="M29" i="2"/>
  <c r="K30" i="2"/>
  <c r="L30" i="2"/>
  <c r="M30" i="2"/>
  <c r="K31" i="2"/>
  <c r="L31" i="2"/>
  <c r="M31" i="2"/>
  <c r="K32" i="2"/>
  <c r="L32" i="2"/>
  <c r="M32" i="2"/>
  <c r="K36" i="2"/>
  <c r="L36" i="2"/>
  <c r="M36" i="2"/>
  <c r="K37" i="2"/>
  <c r="L37" i="2"/>
  <c r="M37" i="2"/>
  <c r="K38" i="2"/>
  <c r="L38" i="2"/>
  <c r="M38" i="2"/>
  <c r="K39" i="2"/>
  <c r="L39" i="2"/>
  <c r="M39" i="2"/>
  <c r="K40" i="2"/>
  <c r="L40" i="2"/>
  <c r="M40" i="2"/>
  <c r="K42" i="2"/>
  <c r="L42" i="2"/>
  <c r="M42" i="2"/>
  <c r="K43" i="2"/>
  <c r="L43" i="2"/>
  <c r="M43" i="2"/>
  <c r="K45" i="2"/>
  <c r="L45" i="2"/>
  <c r="M45" i="2"/>
  <c r="K46" i="2"/>
  <c r="L46" i="2"/>
  <c r="M46" i="2"/>
  <c r="K47" i="2"/>
  <c r="L47" i="2"/>
  <c r="M47" i="2"/>
  <c r="K48" i="2"/>
  <c r="L48" i="2"/>
  <c r="M48" i="2"/>
  <c r="K49" i="2"/>
  <c r="L49" i="2"/>
  <c r="M49" i="2"/>
  <c r="K51" i="2"/>
  <c r="L51" i="2"/>
  <c r="M51" i="2"/>
  <c r="K52" i="2"/>
  <c r="L52" i="2"/>
  <c r="M52" i="2"/>
  <c r="K53" i="2"/>
  <c r="L53" i="2"/>
  <c r="M53" i="2"/>
  <c r="K55" i="2"/>
  <c r="L55" i="2"/>
  <c r="M55" i="2"/>
  <c r="I57" i="2" l="1"/>
  <c r="J18" i="2"/>
  <c r="H18" i="2"/>
  <c r="D18" i="2"/>
  <c r="E18" i="2"/>
  <c r="C18" i="2"/>
  <c r="J28" i="2"/>
  <c r="H28" i="2"/>
  <c r="L28" i="2" s="1"/>
  <c r="E28" i="2"/>
  <c r="D28" i="2"/>
  <c r="C28" i="2"/>
  <c r="G32" i="2"/>
  <c r="C50" i="2"/>
  <c r="G52" i="2"/>
  <c r="J50" i="2"/>
  <c r="M50" i="2" s="1"/>
  <c r="H50" i="2"/>
  <c r="E50" i="2"/>
  <c r="D50" i="2"/>
  <c r="M56" i="2"/>
  <c r="G9" i="2"/>
  <c r="G10" i="2"/>
  <c r="G11" i="2"/>
  <c r="G12" i="2"/>
  <c r="G15" i="2"/>
  <c r="G23" i="2"/>
  <c r="G24" i="2"/>
  <c r="G25" i="2"/>
  <c r="G26" i="2"/>
  <c r="G27" i="2"/>
  <c r="G29" i="2"/>
  <c r="G31" i="2"/>
  <c r="G36" i="2"/>
  <c r="G37" i="2"/>
  <c r="G38" i="2"/>
  <c r="G39" i="2"/>
  <c r="G40" i="2"/>
  <c r="G42" i="2"/>
  <c r="G43" i="2"/>
  <c r="G45" i="2"/>
  <c r="G46" i="2"/>
  <c r="G48" i="2"/>
  <c r="G49" i="2"/>
  <c r="G51" i="2"/>
  <c r="G53" i="2"/>
  <c r="G55" i="2"/>
  <c r="G47" i="2"/>
  <c r="D21" i="2"/>
  <c r="E54" i="2"/>
  <c r="D54" i="2"/>
  <c r="C54" i="2"/>
  <c r="E44" i="2"/>
  <c r="D44" i="2"/>
  <c r="C44" i="2"/>
  <c r="E41" i="2"/>
  <c r="D41" i="2"/>
  <c r="E35" i="2"/>
  <c r="D35" i="2"/>
  <c r="C35" i="2"/>
  <c r="E21" i="2"/>
  <c r="C21" i="2"/>
  <c r="E7" i="2"/>
  <c r="C7" i="2"/>
  <c r="J54" i="2"/>
  <c r="H54" i="2"/>
  <c r="L54" i="2" s="1"/>
  <c r="J44" i="2"/>
  <c r="H44" i="2"/>
  <c r="J41" i="2"/>
  <c r="H41" i="2"/>
  <c r="J35" i="2"/>
  <c r="M35" i="2" s="1"/>
  <c r="H35" i="2"/>
  <c r="J21" i="2"/>
  <c r="H21" i="2"/>
  <c r="J7" i="2"/>
  <c r="H7" i="2"/>
  <c r="H57" i="2" l="1"/>
  <c r="J57" i="2"/>
  <c r="D57" i="2"/>
  <c r="E57" i="2"/>
  <c r="C57" i="2"/>
  <c r="L50" i="2"/>
  <c r="M41" i="2"/>
  <c r="K54" i="2"/>
  <c r="K41" i="2"/>
  <c r="K44" i="2"/>
  <c r="K28" i="2"/>
  <c r="K21" i="2"/>
  <c r="L21" i="2"/>
  <c r="M18" i="2"/>
  <c r="M21" i="2"/>
  <c r="L44" i="2"/>
  <c r="K35" i="2"/>
  <c r="M44" i="2"/>
  <c r="L35" i="2"/>
  <c r="K50" i="2"/>
  <c r="K18" i="2"/>
  <c r="M54" i="2"/>
  <c r="L41" i="2"/>
  <c r="M28" i="2"/>
  <c r="L18" i="2"/>
  <c r="G41" i="2"/>
  <c r="G7" i="2"/>
  <c r="G21" i="2"/>
  <c r="G28" i="2"/>
  <c r="G44" i="2"/>
  <c r="L7" i="2"/>
  <c r="M7" i="2"/>
  <c r="G54" i="2"/>
  <c r="G35" i="2"/>
  <c r="G18" i="2"/>
  <c r="G30" i="2"/>
  <c r="G50" i="2"/>
  <c r="G19" i="2"/>
  <c r="K7" i="2"/>
  <c r="G57" i="2" l="1"/>
  <c r="K57" i="2"/>
  <c r="L57" i="2"/>
  <c r="M57" i="2"/>
</calcChain>
</file>

<file path=xl/sharedStrings.xml><?xml version="1.0" encoding="utf-8"?>
<sst xmlns="http://schemas.openxmlformats.org/spreadsheetml/2006/main" count="132" uniqueCount="121">
  <si>
    <t>ожидаемое исполнение</t>
  </si>
  <si>
    <t>Условно утвержденные расходы</t>
  </si>
  <si>
    <t>Код раздела, подраздела</t>
  </si>
  <si>
    <t>Общегосударственные вопросы</t>
  </si>
  <si>
    <t>01</t>
  </si>
  <si>
    <t>0102</t>
  </si>
  <si>
    <t>0103</t>
  </si>
  <si>
    <t>Темп роста (снижения), %</t>
  </si>
  <si>
    <t>Наименование раздела, подраздела классификации расходов бюджетов</t>
  </si>
  <si>
    <t>0111</t>
  </si>
  <si>
    <t>0107</t>
  </si>
  <si>
    <t>0106</t>
  </si>
  <si>
    <t>0105</t>
  </si>
  <si>
    <t>0104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</si>
  <si>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</si>
  <si>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</si>
  <si>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</si>
  <si>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</si>
  <si>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</si>
  <si>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</si>
  <si>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</si>
  <si>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</si>
  <si>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0113</t>
  </si>
  <si>
    <t>03</t>
  </si>
  <si>
    <t>0309</t>
  </si>
  <si>
    <t>04</t>
  </si>
  <si>
    <t>0401</t>
  </si>
  <si>
    <t>0402</t>
  </si>
  <si>
    <t>0408</t>
  </si>
  <si>
    <t>0409</t>
  </si>
  <si>
    <t>0412</t>
  </si>
  <si>
    <t>Национальная  экономика</t>
  </si>
  <si>
    <t>Общеэкономические вопросы</t>
  </si>
  <si>
    <t>Транспорт</t>
  </si>
  <si>
    <t>Дорожное хозяйство (дорожные фонды)</t>
  </si>
  <si>
    <t>Другие вопросы в области национальной экономики</t>
  </si>
  <si>
    <t xml:space="preserve">     Топливно-энергетический комплекс</t>
  </si>
  <si>
    <t>Национальная безопасность и правоохранительная деятельность</t>
  </si>
  <si>
    <t>05</t>
  </si>
  <si>
    <t>0501</t>
  </si>
  <si>
    <t>0502</t>
  </si>
  <si>
    <t>0503</t>
  </si>
  <si>
    <t>07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</si>
  <si>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</si>
  <si>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</si>
  <si>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</si>
  <si>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</si>
  <si>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</si>
  <si>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0701</t>
  </si>
  <si>
    <t>0702</t>
  </si>
  <si>
    <t>0703</t>
  </si>
  <si>
    <t>0707</t>
  </si>
  <si>
    <t>0709</t>
  </si>
  <si>
    <t>Дошкольное образование</t>
  </si>
  <si>
    <t>Общее образование</t>
  </si>
  <si>
    <t>Дополнительное образование детей</t>
  </si>
  <si>
    <t xml:space="preserve">Молодежная политика </t>
  </si>
  <si>
    <t>Другие вопросы в области образования</t>
  </si>
  <si>
    <t>08</t>
  </si>
  <si>
    <t>Культура, кинематография</t>
  </si>
  <si>
    <t>0801</t>
  </si>
  <si>
    <t>0804</t>
  </si>
  <si>
    <t>Культура</t>
  </si>
  <si>
    <t>Другие вопросы в области культуры, кинематографии</t>
  </si>
  <si>
    <t>10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</si>
  <si>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</si>
  <si>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</si>
  <si>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</si>
  <si>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</si>
  <si>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</si>
  <si>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</si>
  <si>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</si>
  <si>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</si>
  <si>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</si>
  <si>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</si>
  <si>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</si>
  <si>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</t>
  </si>
  <si>
    <t>Физическая культура и спорт</t>
  </si>
  <si>
    <t>1101</t>
  </si>
  <si>
    <t>Физическая культура</t>
  </si>
  <si>
    <t>1103</t>
  </si>
  <si>
    <t>Спорт высших достижений</t>
  </si>
  <si>
    <t>12</t>
  </si>
  <si>
    <t>Средства массовой информации</t>
  </si>
  <si>
    <t>1202</t>
  </si>
  <si>
    <t>Периодическая печать и издательства</t>
  </si>
  <si>
    <t>Показатели бюджета  Крапивинского муниципального округа</t>
  </si>
  <si>
    <t>х</t>
  </si>
  <si>
    <t>1102</t>
  </si>
  <si>
    <t>Массовый спорт</t>
  </si>
  <si>
    <t>0505</t>
  </si>
  <si>
    <t>Другие вопросы в области жилищно-коммунального хозяйства</t>
  </si>
  <si>
    <t>0310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</si>
  <si>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</si>
  <si>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</si>
  <si>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тыс. рублей </t>
  </si>
  <si>
    <t>Бюджет округа - всего</t>
  </si>
  <si>
    <t>0407</t>
  </si>
  <si>
    <t>2026 год</t>
  </si>
  <si>
    <t>06</t>
  </si>
  <si>
    <t>0605</t>
  </si>
  <si>
    <t>Другие вопросы в области охраны окружающей среды</t>
  </si>
  <si>
    <t>Лесное хозяйство</t>
  </si>
  <si>
    <t>02</t>
  </si>
  <si>
    <t xml:space="preserve"> Национальная оборона</t>
  </si>
  <si>
    <t>0203</t>
  </si>
  <si>
    <t>Мобилизационная и вневойсковая подготовка</t>
  </si>
  <si>
    <t>показателей бюджета на 2026 год к показателям бюджета на 2025 год</t>
  </si>
  <si>
    <t>% ожидаемого исполнения  бюджета округа 2024г к отчету за 2023г</t>
  </si>
  <si>
    <t>2027 год</t>
  </si>
  <si>
    <t>показателей бюджета на 2027 год к показателям бюджета на 2026 год</t>
  </si>
  <si>
    <t xml:space="preserve">Сведения </t>
  </si>
  <si>
    <t>Отчет за 2024 год</t>
  </si>
  <si>
    <t>уточненный план округа на 01.11.2025 года</t>
  </si>
  <si>
    <t>кассовый расход на 01.11.2025 года</t>
  </si>
  <si>
    <t>2025год</t>
  </si>
  <si>
    <t>2028 год</t>
  </si>
  <si>
    <t>показателей бюджета на 2028 год к показателям бюджета на 2027 год</t>
  </si>
  <si>
    <t>о расходах бюджета Крапивинского муниципального округа по разделам и подразделам классификации расходов на 2026 год и на плановый период 2027 и 2028 годов                                                                                                                          в сравнении с ожидаемым исполнением за 2025 год (оценка текущего финансового года) и отчетом за 2024 год (отчетный финансовый год)</t>
  </si>
  <si>
    <t>Начальник Финансового управления администрации Крапивинского муниципального округа   __________________________________   А.Н.Баштанова</t>
  </si>
  <si>
    <t>Охрана окружающей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</si>
</sst>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8" fillId="0" borderId="0"/>
    <xf numFmtId="0" fontId="1" fillId="0" borderId="0"/>
  </cellStyleXfs>
  <cellXfs count="120">
    <xf numFmtId="0" fontId="0" fillId="0" borderId="0" xfId="0"/>
    <xf numFmtId="0" fontId="3" fillId="0" borderId="0" xfId="0" applyFont="1"/>
    <xf numFmtId="0" fontId="0" fillId="0" borderId="0" xfId="0" applyFont="1"/>
    <xf numFmtId="49" fontId="0" fillId="0" borderId="0" xfId="0" applyNumberFormat="1" applyBorder="1"/>
    <xf numFmtId="164" fontId="3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 applyAlignment="1"/>
    <xf numFmtId="0" fontId="0" fillId="0" borderId="0" xfId="0" applyFill="1"/>
    <xf numFmtId="164" fontId="3" fillId="0" borderId="0" xfId="0" applyNumberFormat="1" applyFont="1"/>
    <xf numFmtId="164" fontId="6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164" fontId="0" fillId="0" borderId="0" xfId="0" applyNumberFormat="1" applyFill="1"/>
    <xf numFmtId="165" fontId="5" fillId="0" borderId="3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/>
    </xf>
    <xf numFmtId="49" fontId="3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5" fontId="5" fillId="0" borderId="1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49" fontId="2" fillId="0" borderId="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0" fontId="11" fillId="3" borderId="1" xfId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right"/>
    </xf>
    <xf numFmtId="0" fontId="3" fillId="0" borderId="0" xfId="0" applyFont="1" applyAlignment="1"/>
    <xf numFmtId="0" fontId="12" fillId="0" borderId="0" xfId="1" applyFont="1" applyAlignment="1">
      <alignment horizontal="right"/>
    </xf>
    <xf numFmtId="0" fontId="12" fillId="0" borderId="15" xfId="0" applyFont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164" fontId="2" fillId="0" borderId="26" xfId="0" applyNumberFormat="1" applyFont="1" applyBorder="1" applyAlignment="1">
      <alignment horizontal="left"/>
    </xf>
    <xf numFmtId="0" fontId="12" fillId="0" borderId="27" xfId="0" applyFont="1" applyBorder="1" applyAlignment="1">
      <alignment horizontal="left" vertical="center" wrapText="1" indent="2"/>
    </xf>
    <xf numFmtId="164" fontId="2" fillId="0" borderId="27" xfId="0" applyNumberFormat="1" applyFont="1" applyBorder="1" applyAlignment="1">
      <alignment horizontal="left"/>
    </xf>
    <xf numFmtId="0" fontId="13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 indent="2"/>
    </xf>
    <xf numFmtId="164" fontId="3" fillId="0" borderId="27" xfId="0" applyNumberFormat="1" applyFont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 wrapText="1" indent="2"/>
    </xf>
    <xf numFmtId="164" fontId="2" fillId="0" borderId="16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12" fillId="0" borderId="27" xfId="0" applyFont="1" applyBorder="1" applyAlignment="1">
      <alignment horizontal="center" vertical="center"/>
    </xf>
    <xf numFmtId="165" fontId="5" fillId="0" borderId="26" xfId="0" applyNumberFormat="1" applyFont="1" applyFill="1" applyBorder="1" applyAlignment="1">
      <alignment horizontal="right"/>
    </xf>
    <xf numFmtId="165" fontId="6" fillId="0" borderId="26" xfId="0" applyNumberFormat="1" applyFont="1" applyFill="1" applyBorder="1" applyAlignment="1">
      <alignment horizontal="right"/>
    </xf>
    <xf numFmtId="165" fontId="6" fillId="0" borderId="27" xfId="0" applyNumberFormat="1" applyFont="1" applyFill="1" applyBorder="1" applyAlignment="1">
      <alignment horizontal="right"/>
    </xf>
    <xf numFmtId="165" fontId="6" fillId="0" borderId="30" xfId="0" applyNumberFormat="1" applyFont="1" applyFill="1" applyBorder="1" applyAlignment="1">
      <alignment horizontal="right"/>
    </xf>
    <xf numFmtId="0" fontId="11" fillId="3" borderId="8" xfId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165" fontId="5" fillId="0" borderId="7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165" fontId="6" fillId="0" borderId="7" xfId="0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165" fontId="5" fillId="3" borderId="28" xfId="0" applyNumberFormat="1" applyFont="1" applyFill="1" applyBorder="1" applyAlignment="1">
      <alignment horizontal="right"/>
    </xf>
    <xf numFmtId="164" fontId="4" fillId="3" borderId="14" xfId="0" applyNumberFormat="1" applyFont="1" applyFill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6" fillId="0" borderId="31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6" fillId="0" borderId="32" xfId="0" applyNumberFormat="1" applyFont="1" applyBorder="1" applyAlignment="1">
      <alignment horizontal="right"/>
    </xf>
    <xf numFmtId="0" fontId="11" fillId="3" borderId="9" xfId="1" applyFont="1" applyFill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right"/>
    </xf>
    <xf numFmtId="164" fontId="5" fillId="0" borderId="35" xfId="0" applyNumberFormat="1" applyFont="1" applyBorder="1" applyAlignment="1">
      <alignment horizontal="right"/>
    </xf>
    <xf numFmtId="164" fontId="5" fillId="0" borderId="36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0" fontId="11" fillId="0" borderId="38" xfId="1" applyFont="1" applyFill="1" applyBorder="1" applyAlignment="1">
      <alignment vertical="center" wrapText="1"/>
    </xf>
    <xf numFmtId="0" fontId="11" fillId="0" borderId="35" xfId="1" applyFont="1" applyFill="1" applyBorder="1" applyAlignment="1">
      <alignment vertical="center" wrapText="1"/>
    </xf>
    <xf numFmtId="0" fontId="11" fillId="0" borderId="39" xfId="1" applyFont="1" applyFill="1" applyBorder="1" applyAlignment="1">
      <alignment vertical="center" wrapText="1"/>
    </xf>
    <xf numFmtId="164" fontId="0" fillId="0" borderId="0" xfId="0" applyNumberFormat="1"/>
    <xf numFmtId="164" fontId="16" fillId="0" borderId="0" xfId="0" applyNumberFormat="1" applyFont="1" applyFill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0" fontId="14" fillId="0" borderId="0" xfId="0" applyFont="1"/>
    <xf numFmtId="164" fontId="14" fillId="0" borderId="0" xfId="0" applyNumberFormat="1" applyFont="1"/>
    <xf numFmtId="0" fontId="11" fillId="0" borderId="7" xfId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13" fillId="0" borderId="15" xfId="0" applyFont="1" applyBorder="1" applyAlignment="1">
      <alignment vertical="top" wrapText="1"/>
    </xf>
    <xf numFmtId="164" fontId="5" fillId="0" borderId="40" xfId="0" applyNumberFormat="1" applyFont="1" applyFill="1" applyBorder="1" applyAlignment="1">
      <alignment horizontal="right"/>
    </xf>
    <xf numFmtId="164" fontId="6" fillId="3" borderId="40" xfId="0" applyNumberFormat="1" applyFont="1" applyFill="1" applyBorder="1" applyAlignment="1">
      <alignment horizontal="right"/>
    </xf>
    <xf numFmtId="164" fontId="5" fillId="3" borderId="40" xfId="0" applyNumberFormat="1" applyFont="1" applyFill="1" applyBorder="1" applyAlignment="1">
      <alignment horizontal="right"/>
    </xf>
    <xf numFmtId="164" fontId="5" fillId="3" borderId="26" xfId="0" applyNumberFormat="1" applyFont="1" applyFill="1" applyBorder="1" applyAlignment="1">
      <alignment horizontal="right"/>
    </xf>
    <xf numFmtId="164" fontId="6" fillId="3" borderId="41" xfId="0" applyNumberFormat="1" applyFont="1" applyFill="1" applyBorder="1" applyAlignment="1">
      <alignment horizontal="right"/>
    </xf>
    <xf numFmtId="164" fontId="6" fillId="0" borderId="3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9" fillId="3" borderId="17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29" xfId="1" applyFont="1" applyFill="1" applyBorder="1" applyAlignment="1">
      <alignment horizontal="center" vertical="center" textRotation="90" wrapText="1"/>
    </xf>
    <xf numFmtId="0" fontId="11" fillId="0" borderId="0" xfId="1" applyFont="1" applyFill="1" applyBorder="1" applyAlignment="1">
      <alignment horizontal="center" vertical="center" textRotation="90" wrapText="1"/>
    </xf>
    <xf numFmtId="3" fontId="9" fillId="0" borderId="19" xfId="2" applyNumberFormat="1" applyFont="1" applyFill="1" applyBorder="1" applyAlignment="1" applyProtection="1">
      <alignment horizontal="center" vertical="center" wrapText="1"/>
      <protection locked="0"/>
    </xf>
    <xf numFmtId="3" fontId="9" fillId="0" borderId="20" xfId="2" applyNumberFormat="1" applyFont="1" applyFill="1" applyBorder="1" applyAlignment="1" applyProtection="1">
      <alignment horizontal="center" vertical="center" wrapText="1"/>
      <protection locked="0"/>
    </xf>
    <xf numFmtId="3" fontId="9" fillId="0" borderId="21" xfId="2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0" applyNumberFormat="1" applyFont="1" applyFill="1" applyBorder="1" applyAlignment="1">
      <alignment horizontal="right"/>
    </xf>
    <xf numFmtId="164" fontId="2" fillId="3" borderId="28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164" fontId="6" fillId="3" borderId="32" xfId="0" applyNumberFormat="1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topLeftCell="A13" zoomScale="80" zoomScaleNormal="80" workbookViewId="0">
      <selection activeCell="H14" sqref="H14:J14"/>
    </sheetView>
  </sheetViews>
  <sheetFormatPr defaultRowHeight="18.75" x14ac:dyDescent="0.3"/>
  <cols>
    <col min="2" max="2" width="65.42578125" style="1" customWidth="1"/>
    <col min="3" max="3" width="18.42578125" style="82" customWidth="1"/>
    <col min="4" max="5" width="17.85546875" customWidth="1"/>
    <col min="6" max="6" width="17.85546875" style="8" customWidth="1"/>
    <col min="7" max="7" width="17.5703125" customWidth="1"/>
    <col min="8" max="10" width="17.85546875" customWidth="1"/>
    <col min="11" max="11" width="17.5703125" customWidth="1"/>
    <col min="12" max="13" width="16.42578125" customWidth="1"/>
  </cols>
  <sheetData>
    <row r="1" spans="1:15" ht="18.75" customHeight="1" x14ac:dyDescent="0.3">
      <c r="A1" s="97" t="s">
        <v>111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5" ht="39" customHeight="1" x14ac:dyDescent="0.3">
      <c r="A2" s="98" t="s">
        <v>118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5" ht="23.25" customHeight="1" thickBot="1" x14ac:dyDescent="0.35">
      <c r="A3" s="106"/>
      <c r="B3" s="106"/>
      <c r="C3" s="106"/>
      <c r="D3" s="106"/>
      <c r="E3" s="106"/>
      <c r="F3" s="106"/>
      <c r="G3" s="106"/>
      <c r="H3" s="7"/>
      <c r="I3" s="7"/>
      <c r="J3" s="7"/>
      <c r="M3" s="34" t="s">
        <v>95</v>
      </c>
    </row>
    <row r="4" spans="1:15" s="2" customFormat="1" ht="35.25" customHeight="1" x14ac:dyDescent="0.2">
      <c r="A4" s="109" t="s">
        <v>2</v>
      </c>
      <c r="B4" s="101" t="s">
        <v>8</v>
      </c>
      <c r="C4" s="99" t="s">
        <v>112</v>
      </c>
      <c r="D4" s="103" t="s">
        <v>115</v>
      </c>
      <c r="E4" s="104"/>
      <c r="F4" s="105"/>
      <c r="G4" s="109" t="s">
        <v>108</v>
      </c>
      <c r="H4" s="116" t="s">
        <v>86</v>
      </c>
      <c r="I4" s="117"/>
      <c r="J4" s="118"/>
      <c r="K4" s="111" t="s">
        <v>7</v>
      </c>
      <c r="L4" s="112"/>
      <c r="M4" s="113"/>
    </row>
    <row r="5" spans="1:15" s="2" customFormat="1" ht="69" customHeight="1" thickBot="1" x14ac:dyDescent="0.25">
      <c r="A5" s="110"/>
      <c r="B5" s="102"/>
      <c r="C5" s="100"/>
      <c r="D5" s="37" t="s">
        <v>113</v>
      </c>
      <c r="E5" s="36" t="s">
        <v>114</v>
      </c>
      <c r="F5" s="84" t="s">
        <v>0</v>
      </c>
      <c r="G5" s="110"/>
      <c r="H5" s="55" t="s">
        <v>98</v>
      </c>
      <c r="I5" s="31" t="s">
        <v>109</v>
      </c>
      <c r="J5" s="71" t="s">
        <v>116</v>
      </c>
      <c r="K5" s="76" t="s">
        <v>107</v>
      </c>
      <c r="L5" s="77" t="s">
        <v>110</v>
      </c>
      <c r="M5" s="78" t="s">
        <v>117</v>
      </c>
    </row>
    <row r="6" spans="1:15" s="2" customFormat="1" ht="21" customHeight="1" x14ac:dyDescent="0.2">
      <c r="A6" s="27">
        <v>1</v>
      </c>
      <c r="B6" s="35">
        <v>2</v>
      </c>
      <c r="C6" s="86">
        <v>3</v>
      </c>
      <c r="D6" s="38">
        <v>4</v>
      </c>
      <c r="E6" s="27">
        <v>5</v>
      </c>
      <c r="F6" s="85">
        <v>6</v>
      </c>
      <c r="G6" s="50">
        <v>7</v>
      </c>
      <c r="H6" s="38">
        <v>8</v>
      </c>
      <c r="I6" s="27">
        <v>9</v>
      </c>
      <c r="J6" s="39">
        <v>10</v>
      </c>
      <c r="K6" s="38">
        <v>11</v>
      </c>
      <c r="L6" s="27">
        <v>12</v>
      </c>
      <c r="M6" s="39">
        <v>13</v>
      </c>
    </row>
    <row r="7" spans="1:15" ht="20.25" x14ac:dyDescent="0.3">
      <c r="A7" s="26" t="s">
        <v>4</v>
      </c>
      <c r="B7" s="41" t="s">
        <v>3</v>
      </c>
      <c r="C7" s="49">
        <f>SUM(C8:C15)</f>
        <v>220397.1</v>
      </c>
      <c r="D7" s="40">
        <f>SUM(D8:D15)</f>
        <v>133227.9</v>
      </c>
      <c r="E7" s="28">
        <f t="shared" ref="E7" si="0">SUM(E8:E15)</f>
        <v>109187.2</v>
      </c>
      <c r="F7" s="91">
        <f>SUM(F8:F15)</f>
        <v>131597.9</v>
      </c>
      <c r="G7" s="51">
        <f t="shared" ref="G7:G12" si="1">F7/C7</f>
        <v>0.59709451712386408</v>
      </c>
      <c r="H7" s="69">
        <f>SUM(H8:H15)</f>
        <v>120778.59999999999</v>
      </c>
      <c r="I7" s="28">
        <f>SUM(I8:I15)</f>
        <v>120654.7</v>
      </c>
      <c r="J7" s="67">
        <f>SUM(J8:J15)</f>
        <v>120655</v>
      </c>
      <c r="K7" s="58">
        <f t="shared" ref="K7" si="2">H7/F7</f>
        <v>0.9177851622252331</v>
      </c>
      <c r="L7" s="56">
        <f>I7/H7</f>
        <v>0.99897415601770512</v>
      </c>
      <c r="M7" s="59">
        <f>J7/I7</f>
        <v>1.0000024864344281</v>
      </c>
      <c r="N7" s="79"/>
    </row>
    <row r="8" spans="1:15" ht="56.25" x14ac:dyDescent="0.3">
      <c r="A8" s="15" t="s">
        <v>5</v>
      </c>
      <c r="B8" s="42" t="s">
        <v>14</v>
      </c>
      <c r="C8" s="87">
        <v>2818.6</v>
      </c>
      <c r="D8" s="20">
        <v>3280</v>
      </c>
      <c r="E8" s="29">
        <v>2701.5</v>
      </c>
      <c r="F8" s="92">
        <v>3280</v>
      </c>
      <c r="G8" s="52">
        <f>F8/C8</f>
        <v>1.1636982899311716</v>
      </c>
      <c r="H8" s="70">
        <v>2430</v>
      </c>
      <c r="I8" s="29">
        <v>2430</v>
      </c>
      <c r="J8" s="68">
        <v>2430</v>
      </c>
      <c r="K8" s="60">
        <f t="shared" ref="K8:K55" si="3">H8/F8</f>
        <v>0.74085365853658536</v>
      </c>
      <c r="L8" s="57">
        <f>I8/H8</f>
        <v>1</v>
      </c>
      <c r="M8" s="61">
        <f t="shared" ref="M8:M55" si="4">J8/I8</f>
        <v>1</v>
      </c>
      <c r="N8" s="79"/>
      <c r="O8" s="79"/>
    </row>
    <row r="9" spans="1:15" ht="75" x14ac:dyDescent="0.3">
      <c r="A9" s="15" t="s">
        <v>6</v>
      </c>
      <c r="B9" s="42" t="s">
        <v>15</v>
      </c>
      <c r="C9" s="88">
        <v>2616.5</v>
      </c>
      <c r="D9" s="20">
        <v>2336</v>
      </c>
      <c r="E9" s="29">
        <v>2159.1</v>
      </c>
      <c r="F9" s="92">
        <v>2336</v>
      </c>
      <c r="G9" s="53">
        <f t="shared" si="1"/>
        <v>0.89279571947257785</v>
      </c>
      <c r="H9" s="70">
        <v>2304</v>
      </c>
      <c r="I9" s="29">
        <v>2304</v>
      </c>
      <c r="J9" s="68">
        <v>2304</v>
      </c>
      <c r="K9" s="60">
        <f t="shared" si="3"/>
        <v>0.98630136986301364</v>
      </c>
      <c r="L9" s="57">
        <f t="shared" ref="L9:L55" si="5">I9/H9</f>
        <v>1</v>
      </c>
      <c r="M9" s="61">
        <f t="shared" si="4"/>
        <v>1</v>
      </c>
      <c r="N9" s="79"/>
      <c r="O9" s="79"/>
    </row>
    <row r="10" spans="1:15" ht="75" x14ac:dyDescent="0.3">
      <c r="A10" s="15" t="s">
        <v>13</v>
      </c>
      <c r="B10" s="42" t="s">
        <v>16</v>
      </c>
      <c r="C10" s="88">
        <v>104183.1</v>
      </c>
      <c r="D10" s="20">
        <v>99576.3</v>
      </c>
      <c r="E10" s="29">
        <v>84057.3</v>
      </c>
      <c r="F10" s="92">
        <v>99576.3</v>
      </c>
      <c r="G10" s="53">
        <f t="shared" si="1"/>
        <v>0.955781695879658</v>
      </c>
      <c r="H10" s="70">
        <v>91085</v>
      </c>
      <c r="I10" s="29">
        <v>91085</v>
      </c>
      <c r="J10" s="68">
        <v>91085</v>
      </c>
      <c r="K10" s="60">
        <f t="shared" si="3"/>
        <v>0.91472569276022508</v>
      </c>
      <c r="L10" s="57">
        <f t="shared" si="5"/>
        <v>1</v>
      </c>
      <c r="M10" s="61">
        <f t="shared" si="4"/>
        <v>1</v>
      </c>
      <c r="N10" s="79"/>
      <c r="O10" s="79"/>
    </row>
    <row r="11" spans="1:15" ht="20.25" x14ac:dyDescent="0.3">
      <c r="A11" s="15" t="s">
        <v>12</v>
      </c>
      <c r="B11" s="42" t="s">
        <v>17</v>
      </c>
      <c r="C11" s="88">
        <v>25.2</v>
      </c>
      <c r="D11" s="20">
        <v>2.9</v>
      </c>
      <c r="E11" s="29">
        <v>2.9</v>
      </c>
      <c r="F11" s="92">
        <v>2.9</v>
      </c>
      <c r="G11" s="53">
        <f t="shared" si="1"/>
        <v>0.11507936507936507</v>
      </c>
      <c r="H11" s="70">
        <v>51.9</v>
      </c>
      <c r="I11" s="29">
        <v>3</v>
      </c>
      <c r="J11" s="68">
        <v>3.3</v>
      </c>
      <c r="K11" s="60">
        <f t="shared" si="3"/>
        <v>17.896551724137932</v>
      </c>
      <c r="L11" s="57">
        <f t="shared" si="5"/>
        <v>5.7803468208092484E-2</v>
      </c>
      <c r="M11" s="61">
        <f t="shared" si="4"/>
        <v>1.0999999999999999</v>
      </c>
      <c r="N11" s="79"/>
      <c r="O11" s="79"/>
    </row>
    <row r="12" spans="1:15" ht="56.25" x14ac:dyDescent="0.3">
      <c r="A12" s="15" t="s">
        <v>11</v>
      </c>
      <c r="B12" s="42" t="s">
        <v>18</v>
      </c>
      <c r="C12" s="88">
        <v>12774.7</v>
      </c>
      <c r="D12" s="20">
        <v>11843.6</v>
      </c>
      <c r="E12" s="29">
        <v>9043.4</v>
      </c>
      <c r="F12" s="92">
        <v>11843.6</v>
      </c>
      <c r="G12" s="53">
        <f t="shared" si="1"/>
        <v>0.92711374826806103</v>
      </c>
      <c r="H12" s="70">
        <v>10798</v>
      </c>
      <c r="I12" s="29">
        <v>10798</v>
      </c>
      <c r="J12" s="68">
        <v>10798</v>
      </c>
      <c r="K12" s="60">
        <f t="shared" si="3"/>
        <v>0.9117160322874801</v>
      </c>
      <c r="L12" s="57">
        <f t="shared" si="5"/>
        <v>1</v>
      </c>
      <c r="M12" s="61">
        <f t="shared" si="4"/>
        <v>1</v>
      </c>
      <c r="N12" s="79"/>
      <c r="O12" s="79"/>
    </row>
    <row r="13" spans="1:15" ht="26.25" customHeight="1" x14ac:dyDescent="0.3">
      <c r="A13" s="15" t="s">
        <v>10</v>
      </c>
      <c r="B13" s="42" t="s">
        <v>19</v>
      </c>
      <c r="C13" s="88">
        <v>666.6</v>
      </c>
      <c r="D13" s="20">
        <v>0</v>
      </c>
      <c r="E13" s="29">
        <v>0</v>
      </c>
      <c r="F13" s="92">
        <v>0</v>
      </c>
      <c r="G13" s="53">
        <f>F13/C13</f>
        <v>0</v>
      </c>
      <c r="H13" s="70">
        <v>0</v>
      </c>
      <c r="I13" s="29">
        <v>0</v>
      </c>
      <c r="J13" s="68">
        <v>0</v>
      </c>
      <c r="K13" s="60" t="e">
        <f t="shared" si="3"/>
        <v>#DIV/0!</v>
      </c>
      <c r="L13" s="57" t="e">
        <f t="shared" si="5"/>
        <v>#DIV/0!</v>
      </c>
      <c r="M13" s="61" t="e">
        <f t="shared" si="4"/>
        <v>#DIV/0!</v>
      </c>
      <c r="N13" s="79"/>
      <c r="O13" s="79"/>
    </row>
    <row r="14" spans="1:15" ht="20.25" x14ac:dyDescent="0.3">
      <c r="A14" s="15" t="s">
        <v>9</v>
      </c>
      <c r="B14" s="42" t="s">
        <v>20</v>
      </c>
      <c r="C14" s="88">
        <v>0</v>
      </c>
      <c r="D14" s="20">
        <v>1000</v>
      </c>
      <c r="E14" s="29">
        <v>0</v>
      </c>
      <c r="F14" s="92">
        <v>0</v>
      </c>
      <c r="G14" s="53" t="s">
        <v>87</v>
      </c>
      <c r="H14" s="119">
        <f>1200-200</f>
        <v>1000</v>
      </c>
      <c r="I14" s="119">
        <f t="shared" ref="I14:J14" si="6">1200-200</f>
        <v>1000</v>
      </c>
      <c r="J14" s="119">
        <f t="shared" si="6"/>
        <v>1000</v>
      </c>
      <c r="K14" s="60" t="e">
        <f t="shared" si="3"/>
        <v>#DIV/0!</v>
      </c>
      <c r="L14" s="57">
        <f t="shared" si="5"/>
        <v>1</v>
      </c>
      <c r="M14" s="61">
        <f t="shared" si="4"/>
        <v>1</v>
      </c>
      <c r="N14" s="79"/>
      <c r="O14" s="79"/>
    </row>
    <row r="15" spans="1:15" ht="20.25" x14ac:dyDescent="0.3">
      <c r="A15" s="15" t="s">
        <v>22</v>
      </c>
      <c r="B15" s="42" t="s">
        <v>21</v>
      </c>
      <c r="C15" s="88">
        <v>97312.4</v>
      </c>
      <c r="D15" s="20">
        <v>15189.1</v>
      </c>
      <c r="E15" s="29">
        <v>11223</v>
      </c>
      <c r="F15" s="92">
        <f>15189.1-630</f>
        <v>14559.1</v>
      </c>
      <c r="G15" s="53">
        <f t="shared" ref="G15:G55" si="7">F15/C15</f>
        <v>0.14961197134178175</v>
      </c>
      <c r="H15" s="70">
        <f>12774.7-10+145+200</f>
        <v>13109.7</v>
      </c>
      <c r="I15" s="29">
        <f>12774.7+60+200</f>
        <v>13034.7</v>
      </c>
      <c r="J15" s="68">
        <f>12774.7+60+200</f>
        <v>13034.7</v>
      </c>
      <c r="K15" s="60">
        <f t="shared" si="3"/>
        <v>0.90044714302395068</v>
      </c>
      <c r="L15" s="57">
        <f t="shared" si="5"/>
        <v>0.99427904528707756</v>
      </c>
      <c r="M15" s="61">
        <f t="shared" si="4"/>
        <v>1</v>
      </c>
      <c r="N15" s="79"/>
      <c r="O15" s="79"/>
    </row>
    <row r="16" spans="1:15" ht="20.25" x14ac:dyDescent="0.3">
      <c r="A16" s="16" t="s">
        <v>103</v>
      </c>
      <c r="B16" s="43" t="s">
        <v>104</v>
      </c>
      <c r="C16" s="49">
        <f t="shared" ref="C16:F16" si="8">SUM(C17)</f>
        <v>1753.4</v>
      </c>
      <c r="D16" s="40">
        <f t="shared" si="8"/>
        <v>2046.7</v>
      </c>
      <c r="E16" s="28">
        <f t="shared" si="8"/>
        <v>1358.3</v>
      </c>
      <c r="F16" s="93">
        <f t="shared" si="8"/>
        <v>2046.7</v>
      </c>
      <c r="G16" s="51">
        <f t="shared" si="7"/>
        <v>1.1672750085548078</v>
      </c>
      <c r="H16" s="69">
        <f>SUM(H17)</f>
        <v>2901.9</v>
      </c>
      <c r="I16" s="28">
        <f>SUM(I17)</f>
        <v>3237.1</v>
      </c>
      <c r="J16" s="67">
        <f>SUM(J17)</f>
        <v>4121.3999999999996</v>
      </c>
      <c r="K16" s="58">
        <f t="shared" si="3"/>
        <v>1.4178433576000391</v>
      </c>
      <c r="L16" s="56">
        <f t="shared" si="5"/>
        <v>1.1155105275853749</v>
      </c>
      <c r="M16" s="59">
        <f t="shared" si="4"/>
        <v>1.2731766086929659</v>
      </c>
      <c r="N16" s="79"/>
      <c r="O16" s="79"/>
    </row>
    <row r="17" spans="1:15" ht="20.25" x14ac:dyDescent="0.3">
      <c r="A17" s="15" t="s">
        <v>105</v>
      </c>
      <c r="B17" s="42" t="s">
        <v>106</v>
      </c>
      <c r="C17" s="88">
        <v>1753.4</v>
      </c>
      <c r="D17" s="20">
        <v>2046.7</v>
      </c>
      <c r="E17" s="29">
        <v>1358.3</v>
      </c>
      <c r="F17" s="92">
        <v>2046.7</v>
      </c>
      <c r="G17" s="53">
        <f t="shared" si="7"/>
        <v>1.1672750085548078</v>
      </c>
      <c r="H17" s="70">
        <v>2901.9</v>
      </c>
      <c r="I17" s="29">
        <v>3237.1</v>
      </c>
      <c r="J17" s="68">
        <v>4121.3999999999996</v>
      </c>
      <c r="K17" s="60">
        <f t="shared" si="3"/>
        <v>1.4178433576000391</v>
      </c>
      <c r="L17" s="57">
        <f t="shared" si="5"/>
        <v>1.1155105275853749</v>
      </c>
      <c r="M17" s="61">
        <f t="shared" si="4"/>
        <v>1.2731766086929659</v>
      </c>
      <c r="N17" s="79"/>
      <c r="O17" s="79"/>
    </row>
    <row r="18" spans="1:15" ht="37.5" x14ac:dyDescent="0.3">
      <c r="A18" s="16" t="s">
        <v>23</v>
      </c>
      <c r="B18" s="44" t="s">
        <v>37</v>
      </c>
      <c r="C18" s="49">
        <f>SUM(C19:C20)</f>
        <v>29176</v>
      </c>
      <c r="D18" s="40">
        <f t="shared" ref="D18:E18" si="9">SUM(D19:D20)</f>
        <v>20471.099999999999</v>
      </c>
      <c r="E18" s="28">
        <f t="shared" si="9"/>
        <v>7951.4000000000005</v>
      </c>
      <c r="F18" s="93">
        <f t="shared" ref="F18" si="10">SUM(F19:F20)</f>
        <v>20471.099999999999</v>
      </c>
      <c r="G18" s="51">
        <f t="shared" si="7"/>
        <v>0.70164176035097336</v>
      </c>
      <c r="H18" s="69">
        <f>SUM(H19:H20)</f>
        <v>8982</v>
      </c>
      <c r="I18" s="28">
        <f>SUM(I19:I20)</f>
        <v>8982</v>
      </c>
      <c r="J18" s="67">
        <f t="shared" ref="J18" si="11">SUM(J19:J20)</f>
        <v>8982</v>
      </c>
      <c r="K18" s="58">
        <f t="shared" si="3"/>
        <v>0.43876489294664189</v>
      </c>
      <c r="L18" s="56">
        <f t="shared" si="5"/>
        <v>1</v>
      </c>
      <c r="M18" s="59">
        <f t="shared" si="4"/>
        <v>1</v>
      </c>
      <c r="N18" s="79"/>
      <c r="O18" s="79"/>
    </row>
    <row r="19" spans="1:15" ht="20.25" x14ac:dyDescent="0.3">
      <c r="A19" s="17" t="s">
        <v>24</v>
      </c>
      <c r="B19" s="45" t="s">
        <v>93</v>
      </c>
      <c r="C19" s="88">
        <v>9568.7999999999993</v>
      </c>
      <c r="D19" s="20">
        <v>10857.4</v>
      </c>
      <c r="E19" s="29">
        <v>7938.8</v>
      </c>
      <c r="F19" s="92">
        <v>10857.4</v>
      </c>
      <c r="G19" s="53">
        <f t="shared" si="7"/>
        <v>1.1346668338767663</v>
      </c>
      <c r="H19" s="70">
        <f>8915-145</f>
        <v>8770</v>
      </c>
      <c r="I19" s="29">
        <f>8830-60</f>
        <v>8770</v>
      </c>
      <c r="J19" s="68">
        <f>8830-60</f>
        <v>8770</v>
      </c>
      <c r="K19" s="60">
        <f t="shared" si="3"/>
        <v>0.80774402711514726</v>
      </c>
      <c r="L19" s="57">
        <f t="shared" si="5"/>
        <v>1</v>
      </c>
      <c r="M19" s="61">
        <f t="shared" si="4"/>
        <v>1</v>
      </c>
      <c r="N19" s="79"/>
      <c r="O19" s="79"/>
    </row>
    <row r="20" spans="1:15" ht="56.25" x14ac:dyDescent="0.3">
      <c r="A20" s="17" t="s">
        <v>92</v>
      </c>
      <c r="B20" s="45" t="s">
        <v>94</v>
      </c>
      <c r="C20" s="87">
        <v>19607.2</v>
      </c>
      <c r="D20" s="20">
        <v>9613.7000000000007</v>
      </c>
      <c r="E20" s="29">
        <v>12.6</v>
      </c>
      <c r="F20" s="92">
        <v>9613.7000000000007</v>
      </c>
      <c r="G20" s="52" t="s">
        <v>87</v>
      </c>
      <c r="H20" s="70">
        <v>212</v>
      </c>
      <c r="I20" s="29">
        <v>212</v>
      </c>
      <c r="J20" s="68">
        <v>212</v>
      </c>
      <c r="K20" s="60">
        <f t="shared" si="3"/>
        <v>2.2051863486482831E-2</v>
      </c>
      <c r="L20" s="57">
        <f t="shared" si="5"/>
        <v>1</v>
      </c>
      <c r="M20" s="61">
        <f t="shared" si="4"/>
        <v>1</v>
      </c>
      <c r="N20" s="79"/>
      <c r="O20" s="79"/>
    </row>
    <row r="21" spans="1:15" ht="20.25" x14ac:dyDescent="0.3">
      <c r="A21" s="16" t="s">
        <v>25</v>
      </c>
      <c r="B21" s="43" t="s">
        <v>31</v>
      </c>
      <c r="C21" s="49">
        <f t="shared" ref="C21:E21" si="12">SUM(C22:C27)</f>
        <v>239418.40000000002</v>
      </c>
      <c r="D21" s="40">
        <f t="shared" si="12"/>
        <v>181432.89999999997</v>
      </c>
      <c r="E21" s="30">
        <f t="shared" si="12"/>
        <v>143571.4</v>
      </c>
      <c r="F21" s="93">
        <f t="shared" ref="F21" si="13">SUM(F22:F27)</f>
        <v>170932.89999999997</v>
      </c>
      <c r="G21" s="51">
        <f t="shared" si="7"/>
        <v>0.71395055684943154</v>
      </c>
      <c r="H21" s="69">
        <f>SUM(H22:H27)</f>
        <v>177291.7</v>
      </c>
      <c r="I21" s="28">
        <f>SUM(I22:I27)</f>
        <v>182152.4</v>
      </c>
      <c r="J21" s="67">
        <f>SUM(J22:J27)</f>
        <v>177152.4</v>
      </c>
      <c r="K21" s="58">
        <f t="shared" si="3"/>
        <v>1.0372005623259188</v>
      </c>
      <c r="L21" s="56">
        <f t="shared" si="5"/>
        <v>1.0274163990756475</v>
      </c>
      <c r="M21" s="59">
        <f t="shared" si="4"/>
        <v>0.97255045774856663</v>
      </c>
      <c r="N21" s="79"/>
      <c r="O21" s="79"/>
    </row>
    <row r="22" spans="1:15" ht="20.25" x14ac:dyDescent="0.3">
      <c r="A22" s="15" t="s">
        <v>26</v>
      </c>
      <c r="B22" s="45" t="s">
        <v>32</v>
      </c>
      <c r="C22" s="87">
        <v>47786.7</v>
      </c>
      <c r="D22" s="20">
        <v>48745.7</v>
      </c>
      <c r="E22" s="29">
        <v>33862.5</v>
      </c>
      <c r="F22" s="92">
        <v>48745.7</v>
      </c>
      <c r="G22" s="52" t="s">
        <v>87</v>
      </c>
      <c r="H22" s="70">
        <v>0</v>
      </c>
      <c r="I22" s="29">
        <v>0</v>
      </c>
      <c r="J22" s="68">
        <v>0</v>
      </c>
      <c r="K22" s="60" t="s">
        <v>87</v>
      </c>
      <c r="L22" s="57" t="s">
        <v>87</v>
      </c>
      <c r="M22" s="61" t="s">
        <v>87</v>
      </c>
      <c r="N22" s="79"/>
      <c r="O22" s="79"/>
    </row>
    <row r="23" spans="1:15" ht="20.25" x14ac:dyDescent="0.3">
      <c r="A23" s="15" t="s">
        <v>27</v>
      </c>
      <c r="B23" s="46" t="s">
        <v>36</v>
      </c>
      <c r="C23" s="87">
        <v>968.9</v>
      </c>
      <c r="D23" s="20">
        <v>271</v>
      </c>
      <c r="E23" s="29">
        <v>0</v>
      </c>
      <c r="F23" s="92">
        <v>271</v>
      </c>
      <c r="G23" s="52">
        <f t="shared" si="7"/>
        <v>0.27969862730931988</v>
      </c>
      <c r="H23" s="70">
        <v>41606</v>
      </c>
      <c r="I23" s="29">
        <v>45766.7</v>
      </c>
      <c r="J23" s="68">
        <v>45766.7</v>
      </c>
      <c r="K23" s="60">
        <f t="shared" si="3"/>
        <v>153.52767527675277</v>
      </c>
      <c r="L23" s="57">
        <f t="shared" si="5"/>
        <v>1.1000024034994953</v>
      </c>
      <c r="M23" s="61">
        <f t="shared" si="4"/>
        <v>1</v>
      </c>
      <c r="N23" s="79"/>
      <c r="O23" s="79"/>
    </row>
    <row r="24" spans="1:15" ht="20.25" x14ac:dyDescent="0.3">
      <c r="A24" s="15" t="s">
        <v>97</v>
      </c>
      <c r="B24" s="45" t="s">
        <v>102</v>
      </c>
      <c r="C24" s="88">
        <v>0</v>
      </c>
      <c r="D24" s="20">
        <v>0</v>
      </c>
      <c r="E24" s="29">
        <v>0</v>
      </c>
      <c r="F24" s="92">
        <v>0</v>
      </c>
      <c r="G24" s="53" t="e">
        <f t="shared" si="7"/>
        <v>#DIV/0!</v>
      </c>
      <c r="H24" s="70">
        <v>0</v>
      </c>
      <c r="I24" s="29">
        <v>0</v>
      </c>
      <c r="J24" s="68">
        <v>0</v>
      </c>
      <c r="K24" s="60" t="s">
        <v>87</v>
      </c>
      <c r="L24" s="57" t="s">
        <v>87</v>
      </c>
      <c r="M24" s="61" t="s">
        <v>87</v>
      </c>
      <c r="N24" s="79"/>
      <c r="O24" s="79"/>
    </row>
    <row r="25" spans="1:15" ht="20.25" x14ac:dyDescent="0.3">
      <c r="A25" s="15" t="s">
        <v>28</v>
      </c>
      <c r="B25" s="45" t="s">
        <v>33</v>
      </c>
      <c r="C25" s="88">
        <v>36306.5</v>
      </c>
      <c r="D25" s="20">
        <v>33145.699999999997</v>
      </c>
      <c r="E25" s="29">
        <v>26324.2</v>
      </c>
      <c r="F25" s="92">
        <f>33145.7-1500</f>
        <v>31645.699999999997</v>
      </c>
      <c r="G25" s="53">
        <f t="shared" si="7"/>
        <v>0.87162629281258164</v>
      </c>
      <c r="H25" s="70">
        <v>24130</v>
      </c>
      <c r="I25" s="29">
        <v>24130</v>
      </c>
      <c r="J25" s="68">
        <v>24130</v>
      </c>
      <c r="K25" s="60">
        <f t="shared" si="3"/>
        <v>0.76250485847998317</v>
      </c>
      <c r="L25" s="57">
        <f t="shared" si="5"/>
        <v>1</v>
      </c>
      <c r="M25" s="61">
        <f t="shared" si="4"/>
        <v>1</v>
      </c>
      <c r="N25" s="79"/>
      <c r="O25" s="79"/>
    </row>
    <row r="26" spans="1:15" ht="20.25" x14ac:dyDescent="0.3">
      <c r="A26" s="15" t="s">
        <v>29</v>
      </c>
      <c r="B26" s="45" t="s">
        <v>34</v>
      </c>
      <c r="C26" s="88">
        <v>142462.1</v>
      </c>
      <c r="D26" s="20">
        <v>92098.2</v>
      </c>
      <c r="E26" s="29">
        <v>81548.800000000003</v>
      </c>
      <c r="F26" s="92">
        <f>92098.2-3000-3000</f>
        <v>86098.2</v>
      </c>
      <c r="G26" s="53">
        <f t="shared" si="7"/>
        <v>0.6043586329276347</v>
      </c>
      <c r="H26" s="70">
        <v>104655.7</v>
      </c>
      <c r="I26" s="29">
        <v>105855.7</v>
      </c>
      <c r="J26" s="68">
        <v>100855.7</v>
      </c>
      <c r="K26" s="60">
        <f t="shared" si="3"/>
        <v>1.2155387685224546</v>
      </c>
      <c r="L26" s="57">
        <f t="shared" si="5"/>
        <v>1.011466169544516</v>
      </c>
      <c r="M26" s="61">
        <f t="shared" si="4"/>
        <v>0.9527658879021158</v>
      </c>
      <c r="N26" s="79"/>
      <c r="O26" s="79"/>
    </row>
    <row r="27" spans="1:15" ht="37.5" x14ac:dyDescent="0.3">
      <c r="A27" s="15" t="s">
        <v>30</v>
      </c>
      <c r="B27" s="45" t="s">
        <v>35</v>
      </c>
      <c r="C27" s="88">
        <v>11894.2</v>
      </c>
      <c r="D27" s="20">
        <v>7172.3</v>
      </c>
      <c r="E27" s="29">
        <v>1835.9</v>
      </c>
      <c r="F27" s="92">
        <f>7172.3-3000</f>
        <v>4172.3</v>
      </c>
      <c r="G27" s="53">
        <f t="shared" si="7"/>
        <v>0.35078441593381648</v>
      </c>
      <c r="H27" s="70">
        <v>6900</v>
      </c>
      <c r="I27" s="29">
        <v>6400</v>
      </c>
      <c r="J27" s="68">
        <v>6400</v>
      </c>
      <c r="K27" s="60">
        <f t="shared" si="3"/>
        <v>1.6537641109220333</v>
      </c>
      <c r="L27" s="57">
        <f t="shared" si="5"/>
        <v>0.92753623188405798</v>
      </c>
      <c r="M27" s="61">
        <f t="shared" si="4"/>
        <v>1</v>
      </c>
      <c r="N27" s="79"/>
      <c r="O27" s="79"/>
    </row>
    <row r="28" spans="1:15" ht="20.25" x14ac:dyDescent="0.3">
      <c r="A28" s="16" t="s">
        <v>38</v>
      </c>
      <c r="B28" s="44" t="s">
        <v>43</v>
      </c>
      <c r="C28" s="49">
        <f>SUM(C29:C32)</f>
        <v>680048.6</v>
      </c>
      <c r="D28" s="40">
        <f>SUM(D29:D32)</f>
        <v>168335</v>
      </c>
      <c r="E28" s="28">
        <f t="shared" ref="E28" si="14">SUM(E29:E32)</f>
        <v>112778.70000000001</v>
      </c>
      <c r="F28" s="93">
        <f>SUM(F29:F32)</f>
        <v>158135</v>
      </c>
      <c r="G28" s="51">
        <f t="shared" si="7"/>
        <v>0.23253485118563585</v>
      </c>
      <c r="H28" s="69">
        <f>SUM(H29:H32)</f>
        <v>111285.6</v>
      </c>
      <c r="I28" s="28">
        <f>SUM(I29:I32)</f>
        <v>115911.8</v>
      </c>
      <c r="J28" s="67">
        <f t="shared" ref="J28" si="15">SUM(J29:J32)</f>
        <v>115957.9</v>
      </c>
      <c r="K28" s="58">
        <f t="shared" si="3"/>
        <v>0.70373794542637624</v>
      </c>
      <c r="L28" s="56">
        <f t="shared" si="5"/>
        <v>1.0415705176590682</v>
      </c>
      <c r="M28" s="59">
        <f t="shared" si="4"/>
        <v>1.0003977161945548</v>
      </c>
      <c r="N28" s="79"/>
      <c r="O28" s="79"/>
    </row>
    <row r="29" spans="1:15" ht="20.25" x14ac:dyDescent="0.3">
      <c r="A29" s="15" t="s">
        <v>39</v>
      </c>
      <c r="B29" s="45" t="s">
        <v>44</v>
      </c>
      <c r="C29" s="88">
        <v>1699.5</v>
      </c>
      <c r="D29" s="20">
        <v>3039.1</v>
      </c>
      <c r="E29" s="29">
        <v>1013.6</v>
      </c>
      <c r="F29" s="92">
        <v>3039.1</v>
      </c>
      <c r="G29" s="53">
        <f t="shared" si="7"/>
        <v>1.788231832892027</v>
      </c>
      <c r="H29" s="70">
        <v>1300</v>
      </c>
      <c r="I29" s="29">
        <v>1000</v>
      </c>
      <c r="J29" s="68">
        <v>1000</v>
      </c>
      <c r="K29" s="60">
        <f t="shared" si="3"/>
        <v>0.42775821789345531</v>
      </c>
      <c r="L29" s="57">
        <f t="shared" si="5"/>
        <v>0.76923076923076927</v>
      </c>
      <c r="M29" s="61">
        <f t="shared" si="4"/>
        <v>1</v>
      </c>
      <c r="N29" s="79"/>
      <c r="O29" s="79"/>
    </row>
    <row r="30" spans="1:15" ht="20.25" x14ac:dyDescent="0.3">
      <c r="A30" s="15" t="s">
        <v>40</v>
      </c>
      <c r="B30" s="45" t="s">
        <v>45</v>
      </c>
      <c r="C30" s="88">
        <v>604213.9</v>
      </c>
      <c r="D30" s="20">
        <v>102719.8</v>
      </c>
      <c r="E30" s="29">
        <v>69136.600000000006</v>
      </c>
      <c r="F30" s="92">
        <f>102719.8-5000</f>
        <v>97719.8</v>
      </c>
      <c r="G30" s="53">
        <f t="shared" si="7"/>
        <v>0.16173047326451775</v>
      </c>
      <c r="H30" s="70">
        <v>81701.600000000006</v>
      </c>
      <c r="I30" s="29">
        <v>88971.8</v>
      </c>
      <c r="J30" s="68">
        <v>88971.8</v>
      </c>
      <c r="K30" s="60">
        <f t="shared" si="3"/>
        <v>0.8360803030706162</v>
      </c>
      <c r="L30" s="57">
        <f t="shared" si="5"/>
        <v>1.0889847934434576</v>
      </c>
      <c r="M30" s="61">
        <f t="shared" si="4"/>
        <v>1</v>
      </c>
      <c r="N30" s="79"/>
      <c r="O30" s="79"/>
    </row>
    <row r="31" spans="1:15" ht="20.25" x14ac:dyDescent="0.3">
      <c r="A31" s="15" t="s">
        <v>41</v>
      </c>
      <c r="B31" s="45" t="s">
        <v>46</v>
      </c>
      <c r="C31" s="88">
        <v>61781.7</v>
      </c>
      <c r="D31" s="20">
        <v>51594.1</v>
      </c>
      <c r="E31" s="29">
        <v>34330.5</v>
      </c>
      <c r="F31" s="92">
        <f>51594.1-1200-4000</f>
        <v>46394.1</v>
      </c>
      <c r="G31" s="53">
        <f t="shared" si="7"/>
        <v>0.75093595676389613</v>
      </c>
      <c r="H31" s="70">
        <v>18853</v>
      </c>
      <c r="I31" s="29">
        <v>16519</v>
      </c>
      <c r="J31" s="68">
        <v>16565.099999999999</v>
      </c>
      <c r="K31" s="60">
        <f t="shared" si="3"/>
        <v>0.40636632675275519</v>
      </c>
      <c r="L31" s="57">
        <f t="shared" si="5"/>
        <v>0.87620007425873869</v>
      </c>
      <c r="M31" s="61">
        <f t="shared" si="4"/>
        <v>1.0027907258308613</v>
      </c>
      <c r="N31" s="79"/>
      <c r="O31" s="79"/>
    </row>
    <row r="32" spans="1:15" ht="37.5" x14ac:dyDescent="0.3">
      <c r="A32" s="15" t="s">
        <v>90</v>
      </c>
      <c r="B32" s="45" t="s">
        <v>91</v>
      </c>
      <c r="C32" s="87">
        <v>12353.5</v>
      </c>
      <c r="D32" s="20">
        <v>10982</v>
      </c>
      <c r="E32" s="29">
        <v>8298</v>
      </c>
      <c r="F32" s="92">
        <v>10982</v>
      </c>
      <c r="G32" s="52">
        <f t="shared" si="7"/>
        <v>0.88897883190998506</v>
      </c>
      <c r="H32" s="70">
        <f>9421+10</f>
        <v>9431</v>
      </c>
      <c r="I32" s="29">
        <v>9421</v>
      </c>
      <c r="J32" s="68">
        <v>9421</v>
      </c>
      <c r="K32" s="60">
        <f t="shared" si="3"/>
        <v>0.85876889455472594</v>
      </c>
      <c r="L32" s="57">
        <f t="shared" si="5"/>
        <v>0.99893966705545545</v>
      </c>
      <c r="M32" s="61">
        <f t="shared" si="4"/>
        <v>1</v>
      </c>
      <c r="N32" s="79"/>
      <c r="O32" s="79"/>
    </row>
    <row r="33" spans="1:15" ht="20.25" x14ac:dyDescent="0.3">
      <c r="A33" s="16" t="s">
        <v>99</v>
      </c>
      <c r="B33" s="90" t="s">
        <v>120</v>
      </c>
      <c r="C33" s="49">
        <f>C34</f>
        <v>9840.1</v>
      </c>
      <c r="D33" s="75">
        <f t="shared" ref="D33:F33" si="16">D34</f>
        <v>71482</v>
      </c>
      <c r="E33" s="28">
        <f t="shared" si="16"/>
        <v>0</v>
      </c>
      <c r="F33" s="94">
        <f t="shared" si="16"/>
        <v>70659.600000000006</v>
      </c>
      <c r="G33" s="59">
        <f>F33/C33</f>
        <v>7.1807806831231389</v>
      </c>
      <c r="H33" s="49">
        <f t="shared" ref="H33" si="17">H34</f>
        <v>0</v>
      </c>
      <c r="I33" s="49">
        <f t="shared" ref="I33" si="18">I34</f>
        <v>0</v>
      </c>
      <c r="J33" s="49">
        <f t="shared" ref="J33" si="19">J34</f>
        <v>0</v>
      </c>
      <c r="K33" s="58">
        <f t="shared" ref="K33:K34" si="20">H33/F33</f>
        <v>0</v>
      </c>
      <c r="L33" s="56" t="e">
        <f t="shared" ref="L33:L34" si="21">I33/H33</f>
        <v>#DIV/0!</v>
      </c>
      <c r="M33" s="59" t="e">
        <f t="shared" ref="M33:M34" si="22">J33/I33</f>
        <v>#DIV/0!</v>
      </c>
      <c r="N33" s="79"/>
      <c r="O33" s="79"/>
    </row>
    <row r="34" spans="1:15" ht="37.5" x14ac:dyDescent="0.3">
      <c r="A34" s="15" t="s">
        <v>100</v>
      </c>
      <c r="B34" s="45" t="s">
        <v>101</v>
      </c>
      <c r="C34" s="87">
        <v>9840.1</v>
      </c>
      <c r="D34" s="20">
        <v>71482</v>
      </c>
      <c r="E34" s="29">
        <v>0</v>
      </c>
      <c r="F34" s="92">
        <f>71482-822.4</f>
        <v>70659.600000000006</v>
      </c>
      <c r="G34" s="52"/>
      <c r="H34" s="70">
        <v>0</v>
      </c>
      <c r="I34" s="29">
        <v>0</v>
      </c>
      <c r="J34" s="68">
        <v>0</v>
      </c>
      <c r="K34" s="60">
        <f t="shared" si="20"/>
        <v>0</v>
      </c>
      <c r="L34" s="57" t="e">
        <f t="shared" si="21"/>
        <v>#DIV/0!</v>
      </c>
      <c r="M34" s="61" t="e">
        <f t="shared" si="22"/>
        <v>#DIV/0!</v>
      </c>
      <c r="N34" s="79"/>
      <c r="O34" s="79"/>
    </row>
    <row r="35" spans="1:15" ht="20.25" x14ac:dyDescent="0.3">
      <c r="A35" s="16" t="s">
        <v>42</v>
      </c>
      <c r="B35" s="44" t="s">
        <v>47</v>
      </c>
      <c r="C35" s="49">
        <f>SUM(C36:C40)</f>
        <v>823276.70000000007</v>
      </c>
      <c r="D35" s="40">
        <f>SUM(D36+D37+D38+D39+D40)</f>
        <v>820032.39999999991</v>
      </c>
      <c r="E35" s="30">
        <f>SUM(E36:E40)</f>
        <v>669316.1</v>
      </c>
      <c r="F35" s="93">
        <f>SUM(F36+F37+F38+F39+F40)</f>
        <v>810032.39999999991</v>
      </c>
      <c r="G35" s="51">
        <f t="shared" si="7"/>
        <v>0.98391269909618462</v>
      </c>
      <c r="H35" s="69">
        <f>SUM(H36:H40)</f>
        <v>632865.5</v>
      </c>
      <c r="I35" s="28">
        <f>SUM(I36:I40)</f>
        <v>618452.80000000005</v>
      </c>
      <c r="J35" s="67">
        <f>SUM(J36:J40)</f>
        <v>616614.80000000005</v>
      </c>
      <c r="K35" s="58">
        <f t="shared" si="3"/>
        <v>0.78128418073153627</v>
      </c>
      <c r="L35" s="56">
        <f t="shared" si="5"/>
        <v>0.97722628267775702</v>
      </c>
      <c r="M35" s="59">
        <f t="shared" si="4"/>
        <v>0.99702806746125172</v>
      </c>
      <c r="N35" s="79"/>
      <c r="O35" s="79"/>
    </row>
    <row r="36" spans="1:15" ht="20.25" x14ac:dyDescent="0.3">
      <c r="A36" s="15" t="s">
        <v>48</v>
      </c>
      <c r="B36" s="45" t="s">
        <v>53</v>
      </c>
      <c r="C36" s="88">
        <v>212838.1</v>
      </c>
      <c r="D36" s="20">
        <v>217023.6</v>
      </c>
      <c r="E36" s="29">
        <v>175948.79999999999</v>
      </c>
      <c r="F36" s="92">
        <f>217023.6-3000</f>
        <v>214023.6</v>
      </c>
      <c r="G36" s="53">
        <f t="shared" si="7"/>
        <v>1.0055699613931903</v>
      </c>
      <c r="H36" s="70">
        <v>175454.2</v>
      </c>
      <c r="I36" s="29">
        <v>173454.2</v>
      </c>
      <c r="J36" s="68">
        <v>173454.2</v>
      </c>
      <c r="K36" s="60">
        <f t="shared" si="3"/>
        <v>0.81978903261135694</v>
      </c>
      <c r="L36" s="57">
        <f t="shared" si="5"/>
        <v>0.98860101382583032</v>
      </c>
      <c r="M36" s="61">
        <f t="shared" si="4"/>
        <v>1</v>
      </c>
      <c r="N36" s="79"/>
      <c r="O36" s="79"/>
    </row>
    <row r="37" spans="1:15" ht="20.25" x14ac:dyDescent="0.3">
      <c r="A37" s="15" t="s">
        <v>49</v>
      </c>
      <c r="B37" s="45" t="s">
        <v>54</v>
      </c>
      <c r="C37" s="88">
        <v>470985</v>
      </c>
      <c r="D37" s="20">
        <v>473480.1</v>
      </c>
      <c r="E37" s="29">
        <v>391406.5</v>
      </c>
      <c r="F37" s="92">
        <f>473480.1-3000</f>
        <v>470480.1</v>
      </c>
      <c r="G37" s="53">
        <f t="shared" si="7"/>
        <v>0.9989279913373037</v>
      </c>
      <c r="H37" s="70">
        <v>358400.3</v>
      </c>
      <c r="I37" s="29">
        <v>345987.6</v>
      </c>
      <c r="J37" s="68">
        <v>344149.6</v>
      </c>
      <c r="K37" s="60">
        <f t="shared" si="3"/>
        <v>0.76177568402999407</v>
      </c>
      <c r="L37" s="57">
        <f t="shared" si="5"/>
        <v>0.96536637943662429</v>
      </c>
      <c r="M37" s="61">
        <f t="shared" si="4"/>
        <v>0.99468767088762722</v>
      </c>
      <c r="N37" s="79"/>
      <c r="O37" s="79"/>
    </row>
    <row r="38" spans="1:15" ht="20.25" x14ac:dyDescent="0.3">
      <c r="A38" s="15" t="s">
        <v>50</v>
      </c>
      <c r="B38" s="45" t="s">
        <v>55</v>
      </c>
      <c r="C38" s="88">
        <v>100291.3</v>
      </c>
      <c r="D38" s="20">
        <v>91586.2</v>
      </c>
      <c r="E38" s="29">
        <v>71739.7</v>
      </c>
      <c r="F38" s="92">
        <f>91586.2-3000</f>
        <v>88586.2</v>
      </c>
      <c r="G38" s="53">
        <f t="shared" si="7"/>
        <v>0.88328897920357996</v>
      </c>
      <c r="H38" s="70">
        <v>70196.100000000006</v>
      </c>
      <c r="I38" s="29">
        <v>70196.100000000006</v>
      </c>
      <c r="J38" s="68">
        <v>70196.100000000006</v>
      </c>
      <c r="K38" s="60">
        <f t="shared" si="3"/>
        <v>0.79240446028839717</v>
      </c>
      <c r="L38" s="57">
        <f t="shared" si="5"/>
        <v>1</v>
      </c>
      <c r="M38" s="61">
        <f t="shared" si="4"/>
        <v>1</v>
      </c>
      <c r="N38" s="79"/>
      <c r="O38" s="79"/>
    </row>
    <row r="39" spans="1:15" ht="20.25" x14ac:dyDescent="0.3">
      <c r="A39" s="15" t="s">
        <v>51</v>
      </c>
      <c r="B39" s="47" t="s">
        <v>56</v>
      </c>
      <c r="C39" s="88">
        <v>601.5</v>
      </c>
      <c r="D39" s="20">
        <v>419.2</v>
      </c>
      <c r="E39" s="29">
        <v>419.2</v>
      </c>
      <c r="F39" s="92">
        <v>419.2</v>
      </c>
      <c r="G39" s="53">
        <f t="shared" si="7"/>
        <v>0.69692435577722356</v>
      </c>
      <c r="H39" s="70">
        <v>200</v>
      </c>
      <c r="I39" s="29">
        <v>200</v>
      </c>
      <c r="J39" s="68">
        <v>200</v>
      </c>
      <c r="K39" s="60">
        <f t="shared" si="3"/>
        <v>0.47709923664122139</v>
      </c>
      <c r="L39" s="57">
        <f t="shared" si="5"/>
        <v>1</v>
      </c>
      <c r="M39" s="61">
        <f t="shared" si="4"/>
        <v>1</v>
      </c>
      <c r="N39" s="79"/>
      <c r="O39" s="79"/>
    </row>
    <row r="40" spans="1:15" ht="20.25" x14ac:dyDescent="0.3">
      <c r="A40" s="15" t="s">
        <v>52</v>
      </c>
      <c r="B40" s="45" t="s">
        <v>57</v>
      </c>
      <c r="C40" s="88">
        <v>38560.800000000003</v>
      </c>
      <c r="D40" s="20">
        <v>37523.300000000003</v>
      </c>
      <c r="E40" s="29">
        <v>29801.9</v>
      </c>
      <c r="F40" s="92">
        <f>37523.3-1000</f>
        <v>36523.300000000003</v>
      </c>
      <c r="G40" s="53">
        <f t="shared" si="7"/>
        <v>0.94716136594676459</v>
      </c>
      <c r="H40" s="70">
        <v>28614.9</v>
      </c>
      <c r="I40" s="29">
        <v>28614.9</v>
      </c>
      <c r="J40" s="68">
        <v>28614.9</v>
      </c>
      <c r="K40" s="60">
        <f t="shared" si="3"/>
        <v>0.78346973028176536</v>
      </c>
      <c r="L40" s="57">
        <f t="shared" si="5"/>
        <v>1</v>
      </c>
      <c r="M40" s="61">
        <f t="shared" si="4"/>
        <v>1</v>
      </c>
      <c r="N40" s="79"/>
      <c r="O40" s="79"/>
    </row>
    <row r="41" spans="1:15" ht="20.25" x14ac:dyDescent="0.3">
      <c r="A41" s="18" t="s">
        <v>58</v>
      </c>
      <c r="B41" s="44" t="s">
        <v>59</v>
      </c>
      <c r="C41" s="49">
        <f>SUM(C42:C43)</f>
        <v>195754.9</v>
      </c>
      <c r="D41" s="40">
        <f t="shared" ref="D41:E41" si="23">SUM(D42:D43)</f>
        <v>178096.6</v>
      </c>
      <c r="E41" s="28">
        <f t="shared" si="23"/>
        <v>137107.79999999999</v>
      </c>
      <c r="F41" s="93">
        <f t="shared" ref="F41" si="24">SUM(F42:F43)</f>
        <v>170007.3</v>
      </c>
      <c r="G41" s="51">
        <f t="shared" si="7"/>
        <v>0.868470214538691</v>
      </c>
      <c r="H41" s="69">
        <f>SUM(H42:H43)</f>
        <v>140224.5</v>
      </c>
      <c r="I41" s="28">
        <f>SUM(I42:I43)</f>
        <v>140174.5</v>
      </c>
      <c r="J41" s="67">
        <f>SUM(J42:J43)</f>
        <v>140174.5</v>
      </c>
      <c r="K41" s="58">
        <f t="shared" si="3"/>
        <v>0.82481458149150066</v>
      </c>
      <c r="L41" s="56">
        <f t="shared" si="5"/>
        <v>0.99964342893003721</v>
      </c>
      <c r="M41" s="59">
        <f t="shared" si="4"/>
        <v>1</v>
      </c>
      <c r="N41" s="79"/>
      <c r="O41" s="79"/>
    </row>
    <row r="42" spans="1:15" ht="20.25" x14ac:dyDescent="0.3">
      <c r="A42" s="15" t="s">
        <v>60</v>
      </c>
      <c r="B42" s="45" t="s">
        <v>62</v>
      </c>
      <c r="C42" s="88">
        <v>143683</v>
      </c>
      <c r="D42" s="20">
        <v>126485.2</v>
      </c>
      <c r="E42" s="29">
        <v>95637.2</v>
      </c>
      <c r="F42" s="92">
        <f>126485.2-5089.3</f>
        <v>121395.9</v>
      </c>
      <c r="G42" s="53">
        <f t="shared" si="7"/>
        <v>0.84488700820556362</v>
      </c>
      <c r="H42" s="70">
        <v>96463.7</v>
      </c>
      <c r="I42" s="29">
        <v>96413.7</v>
      </c>
      <c r="J42" s="68">
        <v>96413.7</v>
      </c>
      <c r="K42" s="60">
        <f t="shared" si="3"/>
        <v>0.7946207408981687</v>
      </c>
      <c r="L42" s="57">
        <f t="shared" si="5"/>
        <v>0.99948167030706891</v>
      </c>
      <c r="M42" s="61">
        <f t="shared" si="4"/>
        <v>1</v>
      </c>
      <c r="N42" s="79"/>
      <c r="O42" s="79"/>
    </row>
    <row r="43" spans="1:15" ht="26.25" customHeight="1" x14ac:dyDescent="0.3">
      <c r="A43" s="15" t="s">
        <v>61</v>
      </c>
      <c r="B43" s="45" t="s">
        <v>63</v>
      </c>
      <c r="C43" s="88">
        <v>52071.9</v>
      </c>
      <c r="D43" s="20">
        <v>51611.4</v>
      </c>
      <c r="E43" s="29">
        <v>41470.6</v>
      </c>
      <c r="F43" s="92">
        <f>51611.4-3000</f>
        <v>48611.4</v>
      </c>
      <c r="G43" s="53">
        <f t="shared" si="7"/>
        <v>0.93354381153750876</v>
      </c>
      <c r="H43" s="70">
        <v>43760.800000000003</v>
      </c>
      <c r="I43" s="29">
        <v>43760.800000000003</v>
      </c>
      <c r="J43" s="68">
        <v>43760.800000000003</v>
      </c>
      <c r="K43" s="60">
        <f t="shared" si="3"/>
        <v>0.90021682156860328</v>
      </c>
      <c r="L43" s="57">
        <f t="shared" si="5"/>
        <v>1</v>
      </c>
      <c r="M43" s="61">
        <f t="shared" si="4"/>
        <v>1</v>
      </c>
      <c r="N43" s="79"/>
      <c r="O43" s="79"/>
    </row>
    <row r="44" spans="1:15" ht="20.25" x14ac:dyDescent="0.3">
      <c r="A44" s="18" t="s">
        <v>64</v>
      </c>
      <c r="B44" s="44" t="s">
        <v>65</v>
      </c>
      <c r="C44" s="49">
        <f t="shared" ref="C44:E44" si="25">SUM(C45:C49)</f>
        <v>289803.5</v>
      </c>
      <c r="D44" s="40">
        <f t="shared" si="25"/>
        <v>238957.1</v>
      </c>
      <c r="E44" s="30">
        <f t="shared" si="25"/>
        <v>207504.1</v>
      </c>
      <c r="F44" s="93">
        <f t="shared" ref="F44" si="26">SUM(F45:F49)</f>
        <v>238957.1</v>
      </c>
      <c r="G44" s="51">
        <f t="shared" si="7"/>
        <v>0.82454870282795067</v>
      </c>
      <c r="H44" s="69">
        <f>SUM(H45:H49)</f>
        <v>164341.70000000001</v>
      </c>
      <c r="I44" s="28">
        <f>SUM(I45:I49)</f>
        <v>159286.29999999999</v>
      </c>
      <c r="J44" s="67">
        <f>SUM(J45:J49)</f>
        <v>163463.79999999999</v>
      </c>
      <c r="K44" s="58">
        <f t="shared" si="3"/>
        <v>0.6877456246330409</v>
      </c>
      <c r="L44" s="56">
        <f t="shared" si="5"/>
        <v>0.96923848299001392</v>
      </c>
      <c r="M44" s="59">
        <f t="shared" si="4"/>
        <v>1.0262263609613633</v>
      </c>
      <c r="N44" s="79"/>
      <c r="O44" s="79"/>
    </row>
    <row r="45" spans="1:15" ht="20.25" x14ac:dyDescent="0.3">
      <c r="A45" s="19" t="s">
        <v>66</v>
      </c>
      <c r="B45" s="45" t="s">
        <v>67</v>
      </c>
      <c r="C45" s="88">
        <v>8578</v>
      </c>
      <c r="D45" s="20">
        <v>7580.3</v>
      </c>
      <c r="E45" s="29">
        <v>6870.5</v>
      </c>
      <c r="F45" s="92">
        <v>7580.3</v>
      </c>
      <c r="G45" s="53">
        <f t="shared" si="7"/>
        <v>0.88369083702494755</v>
      </c>
      <c r="H45" s="70">
        <v>5000</v>
      </c>
      <c r="I45" s="29">
        <v>5000</v>
      </c>
      <c r="J45" s="68">
        <v>5000</v>
      </c>
      <c r="K45" s="60">
        <f t="shared" si="3"/>
        <v>0.6596045011411158</v>
      </c>
      <c r="L45" s="57">
        <f t="shared" si="5"/>
        <v>1</v>
      </c>
      <c r="M45" s="61">
        <f t="shared" si="4"/>
        <v>1</v>
      </c>
      <c r="N45" s="79"/>
      <c r="O45" s="79"/>
    </row>
    <row r="46" spans="1:15" ht="20.25" x14ac:dyDescent="0.3">
      <c r="A46" s="19" t="s">
        <v>68</v>
      </c>
      <c r="B46" s="45" t="s">
        <v>69</v>
      </c>
      <c r="C46" s="88">
        <v>127512.9</v>
      </c>
      <c r="D46" s="20">
        <v>93955.4</v>
      </c>
      <c r="E46" s="29">
        <v>78498.8</v>
      </c>
      <c r="F46" s="92">
        <v>93955.4</v>
      </c>
      <c r="G46" s="53">
        <f t="shared" si="7"/>
        <v>0.73683054812493476</v>
      </c>
      <c r="H46" s="70">
        <v>56289.5</v>
      </c>
      <c r="I46" s="29">
        <v>56289.5</v>
      </c>
      <c r="J46" s="68">
        <v>56289.5</v>
      </c>
      <c r="K46" s="60">
        <f t="shared" si="3"/>
        <v>0.59910872605512833</v>
      </c>
      <c r="L46" s="57">
        <f t="shared" si="5"/>
        <v>1</v>
      </c>
      <c r="M46" s="61">
        <f t="shared" si="4"/>
        <v>1</v>
      </c>
      <c r="N46" s="79"/>
      <c r="O46" s="79"/>
    </row>
    <row r="47" spans="1:15" ht="20.25" x14ac:dyDescent="0.3">
      <c r="A47" s="19" t="s">
        <v>70</v>
      </c>
      <c r="B47" s="45" t="s">
        <v>71</v>
      </c>
      <c r="C47" s="88">
        <v>1558.8</v>
      </c>
      <c r="D47" s="20">
        <v>12485.1</v>
      </c>
      <c r="E47" s="29">
        <v>12174.9</v>
      </c>
      <c r="F47" s="92">
        <v>12485.1</v>
      </c>
      <c r="G47" s="53">
        <f t="shared" si="7"/>
        <v>8.0094303310238644</v>
      </c>
      <c r="H47" s="70">
        <v>3337.2</v>
      </c>
      <c r="I47" s="29">
        <v>3188.7</v>
      </c>
      <c r="J47" s="68">
        <v>3188.7</v>
      </c>
      <c r="K47" s="60">
        <f t="shared" si="3"/>
        <v>0.2672946151812961</v>
      </c>
      <c r="L47" s="57">
        <f t="shared" si="5"/>
        <v>0.95550161812297729</v>
      </c>
      <c r="M47" s="61">
        <f t="shared" si="4"/>
        <v>1</v>
      </c>
      <c r="N47" s="79"/>
      <c r="O47" s="79"/>
    </row>
    <row r="48" spans="1:15" ht="20.25" x14ac:dyDescent="0.3">
      <c r="A48" s="19" t="s">
        <v>72</v>
      </c>
      <c r="B48" s="45" t="s">
        <v>73</v>
      </c>
      <c r="C48" s="88">
        <v>115886.39999999999</v>
      </c>
      <c r="D48" s="20">
        <v>94880.4</v>
      </c>
      <c r="E48" s="29">
        <v>85741.5</v>
      </c>
      <c r="F48" s="92">
        <v>94880.4</v>
      </c>
      <c r="G48" s="53">
        <f t="shared" si="7"/>
        <v>0.81873627966698426</v>
      </c>
      <c r="H48" s="70">
        <v>75206.5</v>
      </c>
      <c r="I48" s="29">
        <v>73145.899999999994</v>
      </c>
      <c r="J48" s="68">
        <v>73145.899999999994</v>
      </c>
      <c r="K48" s="60">
        <f t="shared" si="3"/>
        <v>0.79264526709415228</v>
      </c>
      <c r="L48" s="57">
        <f t="shared" si="5"/>
        <v>0.97260077253960753</v>
      </c>
      <c r="M48" s="61">
        <f t="shared" si="4"/>
        <v>1</v>
      </c>
      <c r="N48" s="79"/>
      <c r="O48" s="79"/>
    </row>
    <row r="49" spans="1:15" ht="24" customHeight="1" x14ac:dyDescent="0.3">
      <c r="A49" s="19" t="s">
        <v>74</v>
      </c>
      <c r="B49" s="45" t="s">
        <v>75</v>
      </c>
      <c r="C49" s="88">
        <v>36267.4</v>
      </c>
      <c r="D49" s="20">
        <v>30055.9</v>
      </c>
      <c r="E49" s="29">
        <v>24218.400000000001</v>
      </c>
      <c r="F49" s="92">
        <v>30055.9</v>
      </c>
      <c r="G49" s="53">
        <f t="shared" si="7"/>
        <v>0.82873048522915893</v>
      </c>
      <c r="H49" s="70">
        <v>24508.5</v>
      </c>
      <c r="I49" s="29">
        <v>21662.2</v>
      </c>
      <c r="J49" s="68">
        <v>25839.7</v>
      </c>
      <c r="K49" s="60">
        <f t="shared" si="3"/>
        <v>0.81543058101737098</v>
      </c>
      <c r="L49" s="57">
        <f t="shared" si="5"/>
        <v>0.88386478160638149</v>
      </c>
      <c r="M49" s="61">
        <f t="shared" si="4"/>
        <v>1.1928474485509319</v>
      </c>
      <c r="N49" s="79"/>
      <c r="O49" s="79"/>
    </row>
    <row r="50" spans="1:15" ht="20.25" x14ac:dyDescent="0.3">
      <c r="A50" s="18" t="s">
        <v>76</v>
      </c>
      <c r="B50" s="44" t="s">
        <v>77</v>
      </c>
      <c r="C50" s="49">
        <f>SUM(C51+C52+C53)</f>
        <v>7705.6</v>
      </c>
      <c r="D50" s="40">
        <f>SUM(D51+D52+D53)</f>
        <v>1897.3</v>
      </c>
      <c r="E50" s="28">
        <f t="shared" ref="E50" si="27">SUM(E51+E52+E53)</f>
        <v>1398</v>
      </c>
      <c r="F50" s="93">
        <f>SUM(F51+F52+F53)</f>
        <v>1897.3</v>
      </c>
      <c r="G50" s="51">
        <f t="shared" si="7"/>
        <v>0.24622352574750828</v>
      </c>
      <c r="H50" s="69">
        <f>SUM(H51+H52+H53)</f>
        <v>1500</v>
      </c>
      <c r="I50" s="28">
        <f>SUM(I51+I52+I53)</f>
        <v>1500</v>
      </c>
      <c r="J50" s="67">
        <f t="shared" ref="J50" si="28">SUM(J51+J52+J53)</f>
        <v>1500</v>
      </c>
      <c r="K50" s="58">
        <f t="shared" si="3"/>
        <v>0.79059716439150374</v>
      </c>
      <c r="L50" s="56">
        <f t="shared" si="5"/>
        <v>1</v>
      </c>
      <c r="M50" s="59">
        <f t="shared" si="4"/>
        <v>1</v>
      </c>
      <c r="N50" s="79"/>
      <c r="O50" s="79"/>
    </row>
    <row r="51" spans="1:15" ht="20.25" x14ac:dyDescent="0.3">
      <c r="A51" s="19" t="s">
        <v>78</v>
      </c>
      <c r="B51" s="45" t="s">
        <v>79</v>
      </c>
      <c r="C51" s="88">
        <v>1489</v>
      </c>
      <c r="D51" s="20">
        <v>1694.3</v>
      </c>
      <c r="E51" s="32">
        <v>1259.5</v>
      </c>
      <c r="F51" s="92">
        <v>1694.3</v>
      </c>
      <c r="G51" s="53">
        <f t="shared" si="7"/>
        <v>1.137877770315648</v>
      </c>
      <c r="H51" s="70">
        <v>1376</v>
      </c>
      <c r="I51" s="29">
        <v>1376</v>
      </c>
      <c r="J51" s="68">
        <v>1376</v>
      </c>
      <c r="K51" s="60">
        <f t="shared" si="3"/>
        <v>0.8121348049341911</v>
      </c>
      <c r="L51" s="57">
        <f t="shared" si="5"/>
        <v>1</v>
      </c>
      <c r="M51" s="61">
        <f t="shared" si="4"/>
        <v>1</v>
      </c>
      <c r="N51" s="79"/>
      <c r="O51" s="79"/>
    </row>
    <row r="52" spans="1:15" ht="20.25" x14ac:dyDescent="0.3">
      <c r="A52" s="19" t="s">
        <v>88</v>
      </c>
      <c r="B52" s="45" t="s">
        <v>89</v>
      </c>
      <c r="C52" s="87">
        <v>6216.6</v>
      </c>
      <c r="D52" s="20">
        <v>203</v>
      </c>
      <c r="E52" s="32">
        <v>138.5</v>
      </c>
      <c r="F52" s="92">
        <v>203</v>
      </c>
      <c r="G52" s="52">
        <f t="shared" si="7"/>
        <v>3.2654505678345075E-2</v>
      </c>
      <c r="H52" s="70">
        <v>124</v>
      </c>
      <c r="I52" s="29">
        <v>124</v>
      </c>
      <c r="J52" s="68">
        <v>124</v>
      </c>
      <c r="K52" s="60">
        <f t="shared" si="3"/>
        <v>0.61083743842364535</v>
      </c>
      <c r="L52" s="57">
        <f t="shared" si="5"/>
        <v>1</v>
      </c>
      <c r="M52" s="61">
        <f t="shared" si="4"/>
        <v>1</v>
      </c>
      <c r="N52" s="79"/>
      <c r="O52" s="79"/>
    </row>
    <row r="53" spans="1:15" ht="20.25" hidden="1" x14ac:dyDescent="0.3">
      <c r="A53" s="19" t="s">
        <v>80</v>
      </c>
      <c r="B53" s="45" t="s">
        <v>81</v>
      </c>
      <c r="C53" s="87">
        <v>0</v>
      </c>
      <c r="D53" s="20">
        <v>0</v>
      </c>
      <c r="E53" s="32">
        <v>0</v>
      </c>
      <c r="F53" s="92">
        <v>0</v>
      </c>
      <c r="G53" s="52" t="e">
        <f t="shared" si="7"/>
        <v>#DIV/0!</v>
      </c>
      <c r="H53" s="70">
        <v>0</v>
      </c>
      <c r="I53" s="29">
        <v>0</v>
      </c>
      <c r="J53" s="68">
        <v>0</v>
      </c>
      <c r="K53" s="60" t="e">
        <f t="shared" si="3"/>
        <v>#DIV/0!</v>
      </c>
      <c r="L53" s="57" t="e">
        <f t="shared" si="5"/>
        <v>#DIV/0!</v>
      </c>
      <c r="M53" s="61" t="e">
        <f t="shared" si="4"/>
        <v>#DIV/0!</v>
      </c>
      <c r="N53" s="79"/>
      <c r="O53" s="79"/>
    </row>
    <row r="54" spans="1:15" ht="20.25" x14ac:dyDescent="0.3">
      <c r="A54" s="18" t="s">
        <v>82</v>
      </c>
      <c r="B54" s="44" t="s">
        <v>83</v>
      </c>
      <c r="C54" s="49">
        <f t="shared" ref="C54:F54" si="29">SUM(C55:C55)</f>
        <v>4539.2</v>
      </c>
      <c r="D54" s="40">
        <f t="shared" si="29"/>
        <v>4691.3999999999996</v>
      </c>
      <c r="E54" s="28">
        <f t="shared" si="29"/>
        <v>3849.8</v>
      </c>
      <c r="F54" s="93">
        <f t="shared" si="29"/>
        <v>4691.3999999999996</v>
      </c>
      <c r="G54" s="51">
        <f t="shared" si="7"/>
        <v>1.0335301374691575</v>
      </c>
      <c r="H54" s="69">
        <f>SUM(H55:H55)</f>
        <v>3800</v>
      </c>
      <c r="I54" s="28">
        <f>SUM(I55:I55)</f>
        <v>3800</v>
      </c>
      <c r="J54" s="67">
        <f>SUM(J55:J55)</f>
        <v>3800</v>
      </c>
      <c r="K54" s="58">
        <f t="shared" si="3"/>
        <v>0.80999275269642335</v>
      </c>
      <c r="L54" s="56">
        <f t="shared" si="5"/>
        <v>1</v>
      </c>
      <c r="M54" s="59">
        <f t="shared" si="4"/>
        <v>1</v>
      </c>
      <c r="N54" s="79"/>
      <c r="O54" s="79"/>
    </row>
    <row r="55" spans="1:15" ht="20.25" x14ac:dyDescent="0.3">
      <c r="A55" s="19" t="s">
        <v>84</v>
      </c>
      <c r="B55" s="45" t="s">
        <v>85</v>
      </c>
      <c r="C55" s="88">
        <v>4539.2</v>
      </c>
      <c r="D55" s="20">
        <v>4691.3999999999996</v>
      </c>
      <c r="E55" s="29">
        <v>3849.8</v>
      </c>
      <c r="F55" s="92">
        <v>4691.3999999999996</v>
      </c>
      <c r="G55" s="53">
        <f t="shared" si="7"/>
        <v>1.0335301374691575</v>
      </c>
      <c r="H55" s="70">
        <v>3800</v>
      </c>
      <c r="I55" s="29">
        <v>3800</v>
      </c>
      <c r="J55" s="68">
        <v>3800</v>
      </c>
      <c r="K55" s="60">
        <f t="shared" si="3"/>
        <v>0.80999275269642335</v>
      </c>
      <c r="L55" s="57">
        <f t="shared" si="5"/>
        <v>1</v>
      </c>
      <c r="M55" s="61">
        <f t="shared" si="4"/>
        <v>1</v>
      </c>
      <c r="N55" s="79"/>
      <c r="O55" s="79"/>
    </row>
    <row r="56" spans="1:15" ht="21" thickBot="1" x14ac:dyDescent="0.35">
      <c r="A56" s="17"/>
      <c r="B56" s="48" t="s">
        <v>1</v>
      </c>
      <c r="C56" s="89">
        <v>0</v>
      </c>
      <c r="D56" s="21">
        <v>0</v>
      </c>
      <c r="E56" s="96">
        <v>0</v>
      </c>
      <c r="F56" s="95">
        <v>0</v>
      </c>
      <c r="G56" s="54" t="s">
        <v>87</v>
      </c>
      <c r="H56" s="72"/>
      <c r="I56" s="73">
        <v>17200</v>
      </c>
      <c r="J56" s="74">
        <v>34600</v>
      </c>
      <c r="K56" s="62" t="s">
        <v>87</v>
      </c>
      <c r="L56" s="63" t="s">
        <v>87</v>
      </c>
      <c r="M56" s="64">
        <f>J56/I56</f>
        <v>2.0116279069767442</v>
      </c>
      <c r="N56" s="79"/>
      <c r="O56" s="79"/>
    </row>
    <row r="57" spans="1:15" s="8" customFormat="1" ht="27" customHeight="1" thickBot="1" x14ac:dyDescent="0.35">
      <c r="A57" s="114" t="s">
        <v>96</v>
      </c>
      <c r="B57" s="115"/>
      <c r="C57" s="66">
        <f>C7+C16+C18+C21+C28+C33+C35+C41+C44+C50+C54+C56</f>
        <v>2501713.5000000005</v>
      </c>
      <c r="D57" s="66">
        <f t="shared" ref="D57:E57" si="30">D7+D16+D18+D21+D28+D33+D35+D41+D44+D50+D54+D56</f>
        <v>1820670.4000000001</v>
      </c>
      <c r="E57" s="66">
        <f t="shared" si="30"/>
        <v>1394022.8</v>
      </c>
      <c r="F57" s="66">
        <f t="shared" ref="F57" si="31">F7+F16+F18+F21+F28+F33+F35+F41+F44+F50+F54+F56</f>
        <v>1779428.7</v>
      </c>
      <c r="G57" s="65">
        <f>F57/C57</f>
        <v>0.71128396596972421</v>
      </c>
      <c r="H57" s="66">
        <f t="shared" ref="H57:J57" si="32">H7+H16+H18+H21+H28+H33+H35+H41+H44+H50+H54+H56</f>
        <v>1363971.5</v>
      </c>
      <c r="I57" s="66">
        <f t="shared" si="32"/>
        <v>1371351.6</v>
      </c>
      <c r="J57" s="66">
        <f t="shared" si="32"/>
        <v>1387021.8</v>
      </c>
      <c r="K57" s="22">
        <f>H57/F57</f>
        <v>0.76652214275289599</v>
      </c>
      <c r="L57" s="13">
        <f>I57/H57</f>
        <v>1.0054107435529263</v>
      </c>
      <c r="M57" s="14">
        <f>J57/I57</f>
        <v>1.0114268288307682</v>
      </c>
      <c r="N57" s="79"/>
      <c r="O57" s="79"/>
    </row>
    <row r="58" spans="1:15" s="8" customFormat="1" ht="27" customHeight="1" x14ac:dyDescent="0.3">
      <c r="A58" s="23"/>
      <c r="B58" s="23"/>
      <c r="C58" s="80"/>
      <c r="D58" s="24"/>
      <c r="E58" s="24"/>
      <c r="F58" s="24"/>
      <c r="G58" s="24"/>
      <c r="H58" s="24"/>
      <c r="I58" s="24"/>
      <c r="J58" s="24"/>
      <c r="K58" s="25"/>
      <c r="L58" s="25"/>
      <c r="M58" s="25"/>
    </row>
    <row r="59" spans="1:15" ht="20.25" x14ac:dyDescent="0.3">
      <c r="A59" s="33" t="s">
        <v>119</v>
      </c>
      <c r="B59" s="4"/>
      <c r="C59" s="81"/>
      <c r="D59" s="5"/>
      <c r="E59" s="10"/>
      <c r="F59" s="10"/>
      <c r="H59" s="6"/>
      <c r="I59" s="6"/>
      <c r="K59" s="6"/>
    </row>
    <row r="60" spans="1:15" ht="15.75" customHeight="1" x14ac:dyDescent="0.3">
      <c r="A60" s="3"/>
      <c r="B60" s="107"/>
      <c r="C60" s="108"/>
      <c r="D60" s="108"/>
      <c r="E60" s="108"/>
      <c r="F60" s="108"/>
      <c r="G60" s="108"/>
      <c r="H60" s="108"/>
      <c r="I60" s="108"/>
      <c r="J60" s="108"/>
    </row>
    <row r="61" spans="1:15" ht="23.25" customHeight="1" x14ac:dyDescent="0.3">
      <c r="F61" s="12"/>
    </row>
    <row r="62" spans="1:15" x14ac:dyDescent="0.3">
      <c r="C62" s="83"/>
      <c r="D62" s="9"/>
      <c r="E62" s="9"/>
      <c r="F62" s="11"/>
      <c r="G62" s="9"/>
      <c r="H62" s="9"/>
      <c r="I62" s="9"/>
      <c r="J62" s="9"/>
    </row>
    <row r="63" spans="1:15" x14ac:dyDescent="0.3">
      <c r="C63" s="83"/>
      <c r="D63" s="9"/>
      <c r="E63" s="9"/>
      <c r="F63" s="11"/>
      <c r="G63" s="9"/>
      <c r="H63" s="9"/>
      <c r="I63" s="9"/>
      <c r="J63" s="9"/>
    </row>
    <row r="64" spans="1:15" x14ac:dyDescent="0.3">
      <c r="C64" s="83"/>
      <c r="D64" s="9"/>
      <c r="E64" s="9"/>
      <c r="F64" s="11"/>
      <c r="G64" s="9"/>
      <c r="H64" s="9"/>
      <c r="I64" s="9"/>
      <c r="J64" s="9"/>
      <c r="K64" s="9"/>
      <c r="L64" s="9"/>
      <c r="M64" s="9"/>
    </row>
    <row r="65" spans="6:6" x14ac:dyDescent="0.3">
      <c r="F65" s="12"/>
    </row>
    <row r="67" spans="6:6" x14ac:dyDescent="0.3">
      <c r="F67" s="12"/>
    </row>
  </sheetData>
  <mergeCells count="12">
    <mergeCell ref="B60:J60"/>
    <mergeCell ref="A4:A5"/>
    <mergeCell ref="G4:G5"/>
    <mergeCell ref="K4:M4"/>
    <mergeCell ref="A57:B57"/>
    <mergeCell ref="H4:J4"/>
    <mergeCell ref="A1:M1"/>
    <mergeCell ref="A2:M2"/>
    <mergeCell ref="C4:C5"/>
    <mergeCell ref="B4:B5"/>
    <mergeCell ref="D4:F4"/>
    <mergeCell ref="A3:G3"/>
  </mergeCells>
  <phoneticPr fontId="0" type="noConversion"/>
  <pageMargins left="0.39370078740157483" right="0.39370078740157483" top="1.1811023622047245" bottom="0.59055118110236227" header="0.51181102362204722" footer="0.51181102362204722"/>
  <pageSetup paperSize="9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тома</dc:creator>
  <cp:lastModifiedBy>фу</cp:lastModifiedBy>
  <cp:lastPrinted>2025-11-13T10:36:50Z</cp:lastPrinted>
  <dcterms:created xsi:type="dcterms:W3CDTF">2008-10-28T02:59:17Z</dcterms:created>
  <dcterms:modified xsi:type="dcterms:W3CDTF">2025-11-14T03:25:45Z</dcterms:modified>
</cp:coreProperties>
</file>